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一般预算收支调整总表" sheetId="1" r:id="rId1"/>
    <sheet name="一般公共预算收入调整表" sheetId="7" r:id="rId2"/>
    <sheet name="新增政府一般债券资金安排" sheetId="11" r:id="rId3"/>
    <sheet name="预备费使用情况表" sheetId="15" r:id="rId4"/>
    <sheet name="政府性基金预算调整表" sheetId="10" r:id="rId5"/>
    <sheet name="土地出让金基金预算" sheetId="2" r:id="rId6"/>
    <sheet name="政府专项债券资金安排" sheetId="3" r:id="rId7"/>
    <sheet name="污水处理费预算调整表" sheetId="12" r:id="rId8"/>
    <sheet name="城市基础设施配套费" sheetId="9" r:id="rId9"/>
    <sheet name="机关事业单位养老保险基金预算调整" sheetId="13" r:id="rId10"/>
    <sheet name="城乡居民养老保险基金预算调整" sheetId="14" r:id="rId11"/>
  </sheets>
  <definedNames>
    <definedName name="_xlnm._FilterDatabase" localSheetId="5" hidden="1">土地出让金基金预算!$A$5:$K$52</definedName>
    <definedName name="_xlnm.Print_Titles" localSheetId="5">土地出让金基金预算!$1:$5</definedName>
    <definedName name="_xlnm.Print_Titles" localSheetId="0">一般预算收支调整总表!$2:$6</definedName>
    <definedName name="_xlnm.Print_Titles" localSheetId="6">政府专项债券资金安排!$2:$4</definedName>
    <definedName name="_xlnm.Print_Titles" localSheetId="4">政府性基金预算调整表!$1:$6</definedName>
    <definedName name="_xlnm.Print_Titles" localSheetId="3">预备费使用情况表!$1:$4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<sst xmlns="http://schemas.openxmlformats.org/spreadsheetml/2006/main" count="780" uniqueCount="542">
  <si>
    <t>附件1</t>
  </si>
  <si>
    <t xml:space="preserve">   龙胜各族自治县2023年一般预算调整表</t>
  </si>
  <si>
    <t xml:space="preserve">  编制单位：龙胜县财政局</t>
  </si>
  <si>
    <t>编制日期：2023年12月10日</t>
  </si>
  <si>
    <t>单位：万元</t>
  </si>
  <si>
    <t>收              入</t>
  </si>
  <si>
    <t>支                    出</t>
  </si>
  <si>
    <t>增减因素</t>
  </si>
  <si>
    <t>项目</t>
  </si>
  <si>
    <t>2023年年初预算</t>
  </si>
  <si>
    <t>2023年预算调整</t>
  </si>
  <si>
    <t>增、减</t>
  </si>
  <si>
    <t>增        减</t>
  </si>
  <si>
    <t>合计</t>
  </si>
  <si>
    <t>新增政府债券</t>
  </si>
  <si>
    <t>专项转移支付</t>
  </si>
  <si>
    <t>一般转移支付</t>
  </si>
  <si>
    <t>公共预算调整增、减</t>
  </si>
  <si>
    <t>一、一般公共预算收入</t>
  </si>
  <si>
    <t>一、一般公共服务</t>
  </si>
  <si>
    <t>⑴增加专项转移支付支出77万元；⑵一般转移支付支出增加198.55万元;⑶公共预算调整减少2200.34万元(详见调整报告)。</t>
  </si>
  <si>
    <t>二、转移性收入</t>
  </si>
  <si>
    <t>二、外交支出</t>
  </si>
  <si>
    <t xml:space="preserve"> ㈠ 上级补助收入</t>
  </si>
  <si>
    <t>三、国防支出</t>
  </si>
  <si>
    <t>⑴增加一般转移支付1.24万元。</t>
  </si>
  <si>
    <t>⑴返还性收入</t>
  </si>
  <si>
    <t>四、公共安全支出</t>
  </si>
  <si>
    <t>⑴增加一般转移支付支出251万元：⑵增加新增一般债券150万元。⑶公共预算调整增加169.01万元：法院、检察院司法绩效169.01万元。</t>
  </si>
  <si>
    <t xml:space="preserve">所得税基数返还收入 </t>
  </si>
  <si>
    <t>五、教育支出</t>
  </si>
  <si>
    <t>⑴增加一般转移支付支出1561.27万元；⑵增加新增一般债券884万元；⑶公共预算调整减少100万元</t>
  </si>
  <si>
    <t>成品油税费改革税收返还收入</t>
  </si>
  <si>
    <t>六、科学技术支出</t>
  </si>
  <si>
    <t>⑴增加专项转移支付支出10万元；⑵公共预算调整减少80万元：</t>
  </si>
  <si>
    <t>增值税税收返还收入</t>
  </si>
  <si>
    <t>七、文化旅游体育与传媒支出</t>
  </si>
  <si>
    <t>⑴增加专项转移支付支出2000万元；⑵增加一般转移支付234.91万元；⑶增加新增一般债券2800万元。（4）预算调整减少85.91万元（详见调整报告）</t>
  </si>
  <si>
    <t>消费税税收返还收入</t>
  </si>
  <si>
    <t>八、社会保障和就业支出</t>
  </si>
  <si>
    <t>⑴增加专项转移支付支出11万元；⑵增加一般转移支付1269.2万元；⑶公共预算调整增加2437.8：增加职工死亡抚恤费700万元；职业年金780万元；离退休人员一次性生活补助1157.8万元；政府基金调入项目减少200万元。</t>
  </si>
  <si>
    <t>增值税五五分享税收返还收入</t>
  </si>
  <si>
    <t>九、卫生健康支出</t>
  </si>
  <si>
    <t>⑴增加专项转移支付支出40.5万元；⑵增加一般转移支付3150.37万元;⑶公共预算调整减少865.36：（详见调整报告）。</t>
  </si>
  <si>
    <t>其他税收返还收入</t>
  </si>
  <si>
    <t>十、节能环保支出</t>
  </si>
  <si>
    <t>⑴增加专项转移支付支出25万元；⑵增加一般转移支付50万元：⑶公共预算调整减少50万元。</t>
  </si>
  <si>
    <t>⑵一般性转移支付收入</t>
  </si>
  <si>
    <t>十一、城乡社区支出</t>
  </si>
  <si>
    <t>⑴增加专项转移支付支出1122.4万元；⑵增加一般转移支付600万元；⑶新增政府一般债券3826.29万元；（4）预算调整减少1150.67万元（详见调整报告）</t>
  </si>
  <si>
    <t>体制补助收入</t>
  </si>
  <si>
    <t>十二、农林水支出</t>
  </si>
  <si>
    <t xml:space="preserve">⑴增加专项转移支付支出4702.5万元；⑵增加一般转移支付11372.55万元；⑶新增一般政府债券2350万元;⑷公共预算调整减少239.58万元（详见调整报告）。
</t>
  </si>
  <si>
    <t>均衡性转移支付收入</t>
  </si>
  <si>
    <t>十三、交通运输支出</t>
  </si>
  <si>
    <r>
      <rPr>
        <sz val="9"/>
        <color theme="1"/>
        <rFont val="宋体"/>
        <charset val="134"/>
        <scheme val="minor"/>
      </rPr>
      <t>⑴增加专项转移支付支出103.91万元；⑵增加一般转移支付3966.08万元；⑶新增一般政府债券5787万元；（4）预算调整增加980万元：县交通局龙城高速项目款1000万元;政府基金调入</t>
    </r>
    <r>
      <rPr>
        <sz val="9"/>
        <color rgb="FFFF0000"/>
        <rFont val="宋体"/>
        <charset val="134"/>
        <scheme val="minor"/>
      </rPr>
      <t>项目减少20万元。</t>
    </r>
    <r>
      <rPr>
        <sz val="9"/>
        <color theme="1"/>
        <rFont val="宋体"/>
        <charset val="134"/>
        <scheme val="minor"/>
      </rPr>
      <t xml:space="preserve">
</t>
    </r>
  </si>
  <si>
    <t>县级基本财力保障机制奖补资金收入</t>
  </si>
  <si>
    <t>十四、资源勘探信息等支出</t>
  </si>
  <si>
    <t>⑴增加专项转移支付支出30.4万元；⑵增加一般转移支付41.73万元；⑶预算调整减少30万元;</t>
  </si>
  <si>
    <t>结算补助收入</t>
  </si>
  <si>
    <t>十五、商业服务业等支出</t>
  </si>
  <si>
    <t>⑴增加专项转移支付支出280万元；⑵增加一般转移支付15万元；⑶预算调整减少10万元;</t>
  </si>
  <si>
    <t>资源枯竭型城市转移支付补助收入</t>
  </si>
  <si>
    <t>十六、金融支出</t>
  </si>
  <si>
    <t>⑴增加专项转移支付支出828.64万元；</t>
  </si>
  <si>
    <t>企业事业单位划转补助收入</t>
  </si>
  <si>
    <t>十七、援助其他地区支出</t>
  </si>
  <si>
    <t>成品油税费改革转移支付补助收入</t>
  </si>
  <si>
    <t>十八、自然资源海洋气象等支出</t>
  </si>
  <si>
    <t>⑴增加专项转移支付支出220万元；⑵预算调整减少20万元;</t>
  </si>
  <si>
    <t>基层公检法司转移支付收入</t>
  </si>
  <si>
    <t>十九、住房保障支出</t>
  </si>
  <si>
    <t>⑴增加一般转移支付484.94万元。⑵新增一般政府债券96万元</t>
  </si>
  <si>
    <t>城乡义务教育转移支付收入</t>
  </si>
  <si>
    <t>二十、粮油物资储备支出</t>
  </si>
  <si>
    <t>⑴增加一般转移支付96万元；</t>
  </si>
  <si>
    <t>基本养老金转移支付收入</t>
  </si>
  <si>
    <t>二十一、灾害防治及应急管理支出</t>
  </si>
  <si>
    <r>
      <rPr>
        <sz val="9"/>
        <color theme="1"/>
        <rFont val="宋体"/>
        <charset val="134"/>
        <scheme val="minor"/>
      </rPr>
      <t>⑴增加专项转移支付支出268.9万元；⑵增加一般转移支付12万元；</t>
    </r>
    <r>
      <rPr>
        <sz val="9"/>
        <color theme="1"/>
        <rFont val="宋体"/>
        <charset val="134"/>
      </rPr>
      <t>⑶</t>
    </r>
    <r>
      <rPr>
        <sz val="9"/>
        <color theme="1"/>
        <rFont val="宋体"/>
        <charset val="134"/>
        <scheme val="minor"/>
      </rPr>
      <t>预算调整减少80万元;</t>
    </r>
  </si>
  <si>
    <t>城乡居民医疗保险转移支付收入</t>
  </si>
  <si>
    <t>二十二、预备费</t>
  </si>
  <si>
    <t>⑴预算调整减少1500万元;</t>
  </si>
  <si>
    <t>农村综合改革转移支付收入</t>
  </si>
  <si>
    <t>二十三、债务付息支出</t>
  </si>
  <si>
    <t>⑴预算调整增加世行贷款利息620万元；债务付息支出146.91万元</t>
  </si>
  <si>
    <t>产粮（油）大县奖励资金收入</t>
  </si>
  <si>
    <t>二十四、债务发行费用支出</t>
  </si>
  <si>
    <t>⑴预算调整减少21万元</t>
  </si>
  <si>
    <t>重点生态功能区转移支付收入</t>
  </si>
  <si>
    <t>二十五、其他支出</t>
  </si>
  <si>
    <t>⑴增加专项转移支付支出100万元；⑵预算调整增加3434.56万元（详见调整报告）</t>
  </si>
  <si>
    <t>固定数额补助收入</t>
  </si>
  <si>
    <t>一般公共预算支出合计</t>
  </si>
  <si>
    <t>革命老区转移支付收入</t>
  </si>
  <si>
    <t>转移性支出</t>
  </si>
  <si>
    <t>民族地区转移支付收入</t>
  </si>
  <si>
    <t xml:space="preserve">  上解上级支出</t>
  </si>
  <si>
    <t>欠发达地区转移支付收入</t>
  </si>
  <si>
    <t xml:space="preserve">      体制上解支出</t>
  </si>
  <si>
    <t>一般公共服务共同财政事权转移支付收入</t>
  </si>
  <si>
    <t xml:space="preserve">      专项上解支出</t>
  </si>
  <si>
    <t>外交共同财政事权转移支付收入</t>
  </si>
  <si>
    <t xml:space="preserve">  债务还本支出</t>
  </si>
  <si>
    <t>⑴新增一般政府债券5238.12万元；⑵预算调整减少23.91万元。</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</si>
  <si>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</si>
  <si>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</si>
  <si>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</si>
  <si>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</si>
  <si>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</si>
  <si>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</si>
  <si>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</si>
  <si>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</si>
  <si>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</si>
  <si>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</si>
  <si>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</si>
  <si>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</si>
  <si>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</si>
  <si>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</si>
  <si>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</si>
  <si>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</si>
  <si>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</si>
  <si>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</si>
  <si>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</si>
  <si>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增值税留抵退税转移支付收入</t>
  </si>
  <si>
    <t>其他退税减税降费转移支付收入</t>
  </si>
  <si>
    <t>补充县区财力转移支付收入</t>
  </si>
  <si>
    <t>其他一般性转移支付收入</t>
  </si>
  <si>
    <t>⑶专项转移支付收入</t>
  </si>
  <si>
    <t>一般公共服务</t>
  </si>
  <si>
    <t xml:space="preserve"> </t>
  </si>
  <si>
    <t>外交</t>
  </si>
  <si>
    <t>国防</t>
  </si>
  <si>
    <t>公共安全</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</si>
  <si>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</si>
  <si>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</si>
  <si>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</si>
  <si>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</si>
  <si>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</si>
  <si>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</si>
  <si>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</si>
  <si>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</si>
  <si>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</si>
  <si>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</si>
  <si>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</si>
  <si>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</si>
  <si>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</si>
  <si>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</si>
  <si>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</si>
  <si>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</si>
  <si>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其他收入</t>
  </si>
  <si>
    <t>㈡上年结余收入</t>
  </si>
  <si>
    <t>㈢ 调入资金</t>
  </si>
  <si>
    <t>调入预算稳定调节基金</t>
  </si>
  <si>
    <t>从政府性基金预算调入</t>
  </si>
  <si>
    <t>从国有资本经营预算调入</t>
  </si>
  <si>
    <t>从其他资金调入</t>
  </si>
  <si>
    <t>㈣ 地方政府一般债务收入</t>
  </si>
  <si>
    <t>㈤ 地方政府一般债务转贷收入</t>
  </si>
  <si>
    <t>㈥ 接受其他地区援助收入</t>
  </si>
  <si>
    <t>收入总计</t>
  </si>
  <si>
    <t>支出总计</t>
  </si>
  <si>
    <t>附件2</t>
  </si>
  <si>
    <t xml:space="preserve"> 龙胜各族自治县2023年一般公共预算收入调整表</t>
  </si>
  <si>
    <t>编制单位：龙胜县财政局</t>
  </si>
  <si>
    <t>序号</t>
  </si>
  <si>
    <r>
      <rPr>
        <b/>
        <sz val="12"/>
        <rFont val="宋体"/>
        <charset val="134"/>
      </rPr>
      <t>项</t>
    </r>
    <r>
      <rPr>
        <b/>
        <sz val="12"/>
        <rFont val="宋体"/>
        <charset val="134"/>
      </rPr>
      <t>目</t>
    </r>
  </si>
  <si>
    <t>2023年预算调整数</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</si>
  <si>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</si>
  <si>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</si>
  <si>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</si>
  <si>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</si>
  <si>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</si>
  <si>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</si>
  <si>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</si>
  <si>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</si>
  <si>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</si>
  <si>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</si>
  <si>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</si>
  <si>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</si>
  <si>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</si>
  <si>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</si>
  <si>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</si>
  <si>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</si>
  <si>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</si>
  <si>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</si>
  <si>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</si>
  <si>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</si>
  <si>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</si>
  <si>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</si>
  <si>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</si>
  <si>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</si>
  <si>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</si>
  <si>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</si>
  <si>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</si>
  <si>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</si>
  <si>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附件3</t>
  </si>
  <si>
    <t>龙胜各族自治县2023年政府债券资金项目安排情况表</t>
  </si>
  <si>
    <t>金额单位：万元</t>
  </si>
  <si>
    <t>单  位</t>
  </si>
  <si>
    <t>项        目</t>
  </si>
  <si>
    <t>金  额</t>
  </si>
  <si>
    <t>龙胜县财政局</t>
  </si>
  <si>
    <t>2023年广西区政府再融资一般债券（二期）--2023年广西区政府一般债券（三期）</t>
  </si>
  <si>
    <t>2023年广西区政府再融资一般债券（三期）——2023年广西区政府一般债券（四期）</t>
  </si>
  <si>
    <t>2023年广西区政府再融资一般债券（五期）——2023年广西区政府一般债券（六期）</t>
  </si>
  <si>
    <t>2023年广西区政府再融资一般债券（六期)——2023年广西区政府一般债券（七期）</t>
  </si>
  <si>
    <t>关于下达政府债务结存限额、再融资政府债券额度和期限有关事项的通知</t>
  </si>
  <si>
    <t>关于下达政府债务结存限额、再融资政府债券额度和期限用于化解政府拖欠企业账款的通知</t>
  </si>
  <si>
    <t>再融资一般债券</t>
  </si>
  <si>
    <t>龙胜县交通运输局</t>
  </si>
  <si>
    <t>龙胜县“三项工程”补助资金项目</t>
  </si>
  <si>
    <t>龙胜县市容管理服务中心</t>
  </si>
  <si>
    <t>龙胜县2023年背街小巷项目</t>
  </si>
  <si>
    <t>龙胜县公安局</t>
  </si>
  <si>
    <t>龙胜县乡村振兴产业发展基础设施公共服务能力提升三年攻坚行动方案建设项目</t>
  </si>
  <si>
    <t>龙胜县水利事业发展服务中心</t>
  </si>
  <si>
    <t>龙胜县水利项目</t>
  </si>
  <si>
    <t>龙胜县教育局</t>
  </si>
  <si>
    <t>龙胜县农村公办学校校舍安全保障长效机制项目</t>
  </si>
  <si>
    <t>龙胜县文化广电体育和旅游局</t>
  </si>
  <si>
    <t>龙胜县城乡基础设施项目</t>
  </si>
  <si>
    <t>龙胜县公共体育场标准田径跑道和足球场项目</t>
  </si>
  <si>
    <t>龙胜县住房和城乡建设局</t>
  </si>
  <si>
    <t>龙胜县城镇保障性安居工程项目</t>
  </si>
  <si>
    <t>龙胜教育局</t>
  </si>
  <si>
    <t>龙胜县移民小学（龙胜镇第二小学）教师周转宿舍工程项目</t>
  </si>
  <si>
    <t>龙胜县文广体旅局</t>
  </si>
  <si>
    <t>龙胜县综合博物馆建设项目</t>
  </si>
  <si>
    <t>龙胜县瓢里镇人民政府</t>
  </si>
  <si>
    <t>龙胜县瓢里镇六漫村乡村旅游基础设施建设项目</t>
  </si>
  <si>
    <t>龙胜县江底乡人民政府</t>
  </si>
  <si>
    <t>龙胜县江底乡集镇基础设施项目</t>
  </si>
  <si>
    <t>新增一般债券合计</t>
  </si>
  <si>
    <t>总  计</t>
  </si>
  <si>
    <t>附件4</t>
  </si>
  <si>
    <t>2023年预备费使用情况表</t>
  </si>
  <si>
    <t>日期</t>
  </si>
  <si>
    <t>单位</t>
  </si>
  <si>
    <t>项目名称</t>
  </si>
  <si>
    <t>金额</t>
  </si>
  <si>
    <t>2023.3.27</t>
  </si>
  <si>
    <t>龙胜县民族宗教事务局</t>
  </si>
  <si>
    <t>2023年追加民宗局参加隆林各族自治县县庆礼金</t>
  </si>
  <si>
    <t>2023.6.13</t>
  </si>
  <si>
    <t>中共龙胜县委员会办公室</t>
  </si>
  <si>
    <t>2023年追加党委值班视频点名会议系统经费</t>
  </si>
  <si>
    <t>龙胜县统计局</t>
  </si>
  <si>
    <t>2023年追加龙胜县第五次全国经济普查经费</t>
  </si>
  <si>
    <t>龙胜县机关事务管理服务中心</t>
  </si>
  <si>
    <t>2023年追加机关事务局租车费</t>
  </si>
  <si>
    <t>2023年追加县委县政府四楼会议室电信信号视频会议项目费用</t>
  </si>
  <si>
    <t>2023年追加全县领导干部通讯录印制经费</t>
  </si>
  <si>
    <t xml:space="preserve">2023年追加70周年县庆住宿费用 </t>
  </si>
  <si>
    <t>2023年追加老县委交流干部住宿楼及机关办公所维修资金</t>
  </si>
  <si>
    <t>2023.6.15</t>
  </si>
  <si>
    <t>龙胜县人民政府办公室</t>
  </si>
  <si>
    <t>2023年追加政府办工作经费</t>
  </si>
  <si>
    <t>中共龙胜县委员会组织部</t>
  </si>
  <si>
    <t>2023年追加老干部迎新春茶话会经费</t>
  </si>
  <si>
    <t>2023.6.28</t>
  </si>
  <si>
    <t>2023年追加军事日活动服装经费</t>
  </si>
  <si>
    <t>2023年追加2021年县“两会”物资购置经费</t>
  </si>
  <si>
    <t>2023年追加机关事务局食堂经费</t>
  </si>
  <si>
    <t>中共龙胜县委员会机构编制委员会办公室</t>
  </si>
  <si>
    <t>2023年追加县委编办专用电脑采购资金</t>
  </si>
  <si>
    <t>2023.6.30</t>
  </si>
  <si>
    <t>2023年追加“党政同责、一岗双责”生态环境保护目标责任保证金</t>
  </si>
  <si>
    <t>2023.7.11</t>
  </si>
  <si>
    <t>2023年追加生态环境保护辅助执法人员工作经费</t>
  </si>
  <si>
    <t>2023.8.2</t>
  </si>
  <si>
    <t>龙胜县科学技术协会</t>
  </si>
  <si>
    <t>2023年追加老科协2023年度工作经费</t>
  </si>
  <si>
    <t>中共龙胜县委员会机要保密办公室</t>
  </si>
  <si>
    <t>2023年追加购买保密计算机检测软件和涉密文件清除软件经费</t>
  </si>
  <si>
    <t>2023.10.18</t>
  </si>
  <si>
    <t>龙胜县退役军人事务局</t>
  </si>
  <si>
    <t>2023年追加烈士亲属赴广西边境地区烈士陵园开展祭扫活动经费</t>
  </si>
  <si>
    <t>2023.10.24</t>
  </si>
  <si>
    <t>2023年追加2021年梯田文化节经费</t>
  </si>
  <si>
    <t>2023.11.2</t>
  </si>
  <si>
    <t>中共龙胜县纪律检查委员会</t>
  </si>
  <si>
    <t>2023年追加县纪委巡查经费</t>
  </si>
  <si>
    <t>2023.11.17</t>
  </si>
  <si>
    <t>2023年追加”学习贯彻习近平新时代中国特色社会主义思想主题教育专项工作启动经费</t>
  </si>
  <si>
    <t>2023年追加老县委大院新建围墙道闸工程项目资金</t>
  </si>
  <si>
    <t>2023.11.23</t>
  </si>
  <si>
    <t>2023年追加增拨住户调查工作经费</t>
  </si>
  <si>
    <t>2023.11.28</t>
  </si>
  <si>
    <t>龙胜县龙胜镇人民政府</t>
  </si>
  <si>
    <t>2023年追加老乡家园集中安置点2023年度部分物业费等费用</t>
  </si>
  <si>
    <t>2023.11.29</t>
  </si>
  <si>
    <t>2023年追加县级统计协管员劳动报酬补助</t>
  </si>
  <si>
    <t>2023.12.14</t>
  </si>
  <si>
    <t>龙胜县乡村振兴局</t>
  </si>
  <si>
    <t>2023年追加粤桂办相关工作经费（公务接待费）</t>
  </si>
  <si>
    <t>2023.12.21</t>
  </si>
  <si>
    <t>2023年追加非道路移动机械污染排放监督抽查专项联合执法工作经费</t>
  </si>
  <si>
    <t>2023年追加拉麻生活垃圾卫生填埋封场前期经费和运营经费</t>
  </si>
  <si>
    <t>2023.12.25</t>
  </si>
  <si>
    <t>龙胜县妇女联合会</t>
  </si>
  <si>
    <t>2023年追加2023年县妇联换届选举工作经费</t>
  </si>
  <si>
    <t>龙胜县人民武装部</t>
  </si>
  <si>
    <t>2023年追加县人武部民兵训练补助、伙食等经费</t>
  </si>
  <si>
    <t>龙胜县看守所</t>
  </si>
  <si>
    <t>2023年追加武警中队安防设施经费</t>
  </si>
  <si>
    <t>2023年追加武警中队执勤领域设施经费</t>
  </si>
  <si>
    <t>2023.12.7</t>
  </si>
  <si>
    <t>龙胜县财政局债务管理中心</t>
  </si>
  <si>
    <t>2023年追加2023年度一般债券利息（11-12月）</t>
  </si>
  <si>
    <t>2023.10.16</t>
  </si>
  <si>
    <t>2023年追加2023年巩固脱贫成果后评估县级交叉考核经费（其他交通费用）</t>
  </si>
  <si>
    <t>2023.10.13</t>
  </si>
  <si>
    <t>龙胜县人民代表大会常务委员会办公室</t>
  </si>
  <si>
    <t>2023年追加人大办涉密设备采购桂湘黔三省（区）六县人大常委会基层立法联系点工作区域协同联席会议经费</t>
  </si>
  <si>
    <t>龙胜县市场监督管理局</t>
  </si>
  <si>
    <t>2023年追加新开办企业印章刻制费用结算</t>
  </si>
  <si>
    <t>附件5</t>
  </si>
  <si>
    <t>2023年政府性基金预算收支表</t>
  </si>
  <si>
    <t>收                入</t>
  </si>
  <si>
    <t>2023年初预算</t>
  </si>
  <si>
    <t>专项债券</t>
  </si>
  <si>
    <t>政府基金预算调整增、减</t>
  </si>
  <si>
    <t xml:space="preserve">  一、农网还贷资金收入</t>
  </si>
  <si>
    <t>一、文化旅游体育与传媒支出</t>
  </si>
  <si>
    <t>⑴增加专项转移支付支出4万元</t>
  </si>
  <si>
    <t xml:space="preserve">  二、海南省高等级公路车辆通行附加费收入</t>
  </si>
  <si>
    <t>二、社会保障和就业支出</t>
  </si>
  <si>
    <t>⑴增加专项转移支付支出765万元</t>
  </si>
  <si>
    <t xml:space="preserve">  三、国家电影事业发展专项资金收入</t>
  </si>
  <si>
    <t>三、节能环保支出</t>
  </si>
  <si>
    <t xml:space="preserve">  四、国有土地收益基金收入</t>
  </si>
  <si>
    <t>四、城乡社区支出</t>
  </si>
  <si>
    <t>⑴预算调整减少10731万元</t>
  </si>
  <si>
    <t xml:space="preserve">  五、农业土地开发资金收入</t>
  </si>
  <si>
    <t>五、农林水支出</t>
  </si>
  <si>
    <t xml:space="preserve">  六、国有土地使用权出让收入</t>
  </si>
  <si>
    <t>六、交通运输支出</t>
  </si>
  <si>
    <t xml:space="preserve">  七、大中型水库库区基金收入</t>
  </si>
  <si>
    <t>七、资源勘探工业信息等支出</t>
  </si>
  <si>
    <t xml:space="preserve">  八、彩票公益金收入</t>
  </si>
  <si>
    <t>八、其他支出</t>
  </si>
  <si>
    <t>⑴增加专项转移支付支出612万元</t>
  </si>
  <si>
    <t xml:space="preserve">  九、城市基础设施配套费收入</t>
  </si>
  <si>
    <t>九、债务付息支出</t>
  </si>
  <si>
    <t xml:space="preserve">  十、小型水库移民扶助基金收入</t>
  </si>
  <si>
    <t>十、债务发行费用支出</t>
  </si>
  <si>
    <t xml:space="preserve">  十一、国家重大水利工程建设基金收入</t>
  </si>
  <si>
    <t>十一、抗疫特别国债安排的支出</t>
  </si>
  <si>
    <t xml:space="preserve">  十二、车辆通行费</t>
  </si>
  <si>
    <t xml:space="preserve">  十三、污水处理费收入</t>
  </si>
  <si>
    <t xml:space="preserve">  十四、彩票发行机构和彩票销售机构的业务费用</t>
  </si>
  <si>
    <t xml:space="preserve">  十五、其他政府性基金收入</t>
  </si>
  <si>
    <t xml:space="preserve">  十六、专项债务对应项目专项收入</t>
  </si>
  <si>
    <t>支出合计</t>
  </si>
  <si>
    <t xml:space="preserve">  转移性收入</t>
  </si>
  <si>
    <t xml:space="preserve">  转移性支出</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</si>
  <si>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</si>
  <si>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</si>
  <si>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</si>
  <si>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</si>
  <si>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</si>
  <si>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</si>
  <si>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⑴预算调整减少6615万元</t>
  </si>
  <si>
    <t xml:space="preserve">    调入资金</t>
  </si>
  <si>
    <t xml:space="preserve">    年终结余（转）</t>
  </si>
  <si>
    <t xml:space="preserve">  债务收入</t>
  </si>
  <si>
    <t xml:space="preserve">  债务支出</t>
  </si>
  <si>
    <t xml:space="preserve">    地方政府专项债务收入</t>
  </si>
  <si>
    <t xml:space="preserve">    地方政府专项债务还本支出</t>
  </si>
  <si>
    <t xml:space="preserve">    地方政府专项债务转贷收入</t>
  </si>
  <si>
    <t xml:space="preserve">    地方政府专项债务转贷支出</t>
  </si>
  <si>
    <t>附件6</t>
  </si>
  <si>
    <t>2023年龙胜县土地出让金收支调整预算表</t>
  </si>
  <si>
    <t>收入预算</t>
  </si>
  <si>
    <t>支出预算</t>
  </si>
  <si>
    <t>摘要</t>
  </si>
  <si>
    <t>调整预算</t>
  </si>
  <si>
    <t>项目内容</t>
  </si>
  <si>
    <t>功能科目名称及代码</t>
  </si>
  <si>
    <t>年初预算金额</t>
  </si>
  <si>
    <t>增(+)减(-)</t>
  </si>
  <si>
    <t>上年结余</t>
  </si>
  <si>
    <t>市政基础设施建设</t>
  </si>
  <si>
    <t>2120803城市建设支出</t>
  </si>
  <si>
    <t>当年土地出让金收入</t>
  </si>
  <si>
    <t>重大项目建设</t>
  </si>
  <si>
    <t>田长制公示牌设立及宣传巡查工作</t>
  </si>
  <si>
    <t>2120804农村基础设施建设支出</t>
  </si>
  <si>
    <t>“房地一体”经费</t>
  </si>
  <si>
    <t>2120814农业生产发展支出</t>
  </si>
  <si>
    <t>城镇保障性安居工程资金</t>
  </si>
  <si>
    <t>农村公路养护</t>
  </si>
  <si>
    <t>征地拆迁补偿经费</t>
  </si>
  <si>
    <t>2120801征地和拆迁补偿支出</t>
  </si>
  <si>
    <t>土地储备经费</t>
  </si>
  <si>
    <t>2120802土地开发支出</t>
  </si>
  <si>
    <t>被征地农民生活补助和保险</t>
  </si>
  <si>
    <t>2120805补助被征地农民支出</t>
  </si>
  <si>
    <t>宝玉石综合开发宣传经费</t>
  </si>
  <si>
    <t>全县正科级以上领导培训经费</t>
  </si>
  <si>
    <t>2120899其他国有土地使用权出让收入安排的支出</t>
  </si>
  <si>
    <t>为民服务及村级运行维护费</t>
  </si>
  <si>
    <t>2120815农村社会事业支出</t>
  </si>
  <si>
    <t>绩效工作经费</t>
  </si>
  <si>
    <t>旅游民族文化节庆及活动经费</t>
  </si>
  <si>
    <t>专项宣传费</t>
  </si>
  <si>
    <t>旅游促销费</t>
  </si>
  <si>
    <t>高速路视频监控系统建设</t>
  </si>
  <si>
    <t>农业综合开发</t>
  </si>
  <si>
    <t>少数民族村寨防火经费</t>
  </si>
  <si>
    <t>拉麻垃圾渗滤液处理站经费</t>
  </si>
  <si>
    <t>2120816农业农村生态环境支出</t>
  </si>
  <si>
    <t>拉麻垃圾场维修经费</t>
  </si>
  <si>
    <t>县城环卫清扫保洁项目工程</t>
  </si>
  <si>
    <t>垃圾外运桂林山口垃圾场车辆经费</t>
  </si>
  <si>
    <t>农村生活污水处理设施运维经费</t>
  </si>
  <si>
    <t>铸牢中华民族共同体意识示范县</t>
  </si>
  <si>
    <t>农业高标准农田建设项目</t>
  </si>
  <si>
    <t>国有企业改制经费</t>
  </si>
  <si>
    <t>2120809支付破产或改制企业职工安置费</t>
  </si>
  <si>
    <t>龙胜镇二高沿线风貌改造经费</t>
  </si>
  <si>
    <t>瓢里镇二高沿线风貌改造经费</t>
  </si>
  <si>
    <t>县城风貌改造经费</t>
  </si>
  <si>
    <t>平等镇新型城镇化建设经费</t>
  </si>
  <si>
    <t>三门镇新型城镇化建设经费</t>
  </si>
  <si>
    <t>市政设施小设施维修维护（广场、公园、街道绿化等公共设施）</t>
  </si>
  <si>
    <t>龙脊大道市政设施、园林绿化设施维护</t>
  </si>
  <si>
    <t>县城城市道路（主街道篦子井、沉沙井/池、截洪沟过境公路）</t>
  </si>
  <si>
    <t>拉麻生活垃圾卫生填埋场专项监测经费</t>
  </si>
  <si>
    <t>桥梁检测费</t>
  </si>
  <si>
    <t>其他支出</t>
  </si>
  <si>
    <t>龙脊大道片区专项债券本金</t>
  </si>
  <si>
    <t>2310431土地储备专项债券还本支出</t>
  </si>
  <si>
    <t>龙脊大道片区专项债券利息</t>
  </si>
  <si>
    <t>2320431土地储备专项债券付息支出</t>
  </si>
  <si>
    <t>天歌国际专项债券利息</t>
  </si>
  <si>
    <t>专项债券费用</t>
  </si>
  <si>
    <t>2330431土地储备专项债券发行费用支出</t>
  </si>
  <si>
    <t>国土空间规划“一张图”经费</t>
  </si>
  <si>
    <t>小     计</t>
  </si>
  <si>
    <t>调  出  资  金</t>
  </si>
  <si>
    <t>合    计</t>
  </si>
  <si>
    <t>附件7</t>
  </si>
  <si>
    <t>2023年广西壮族自治区政府再融资专项债券（九期）——2023年广西壮族自治区政府专项债券（二十二期）</t>
  </si>
  <si>
    <t>再融资专项债券合计</t>
  </si>
  <si>
    <t>龙胜县兴龙城投公司</t>
  </si>
  <si>
    <t>龙胜各族自治县产业园区基础设施建设项目</t>
  </si>
  <si>
    <t>龙胜县市容服务中心</t>
  </si>
  <si>
    <t>龙胜各族自治县城镇供排水、污水处理建设项目</t>
  </si>
  <si>
    <t>龙胜县市容服务中心、兴龙城投公司等</t>
  </si>
  <si>
    <t>龙胜各族自治县公共服务基础设施建设项目</t>
  </si>
  <si>
    <t>龙胜各族自治县教育基础设施建设项目</t>
  </si>
  <si>
    <t>龙胜各族自治县垃圾收集处理建设项目</t>
  </si>
  <si>
    <t>龙胜各族自治县路网交通枢纽建设项目</t>
  </si>
  <si>
    <t>龙胜县乐江镇政府</t>
  </si>
  <si>
    <t>龙胜各族自治县文化旅游建设项目</t>
  </si>
  <si>
    <t>新增政府专项债券合计</t>
  </si>
  <si>
    <t>合  计</t>
  </si>
  <si>
    <t>附件8</t>
  </si>
  <si>
    <t>2023年龙胜县污水处理费收支预算调整表</t>
  </si>
  <si>
    <t>编制单位：龙胜各族自治县财政局</t>
  </si>
  <si>
    <t>编制日期：2022年12月10日</t>
  </si>
  <si>
    <t>金额单位：元</t>
  </si>
  <si>
    <t>2023年初预算金额</t>
  </si>
  <si>
    <t>预算调整</t>
  </si>
  <si>
    <t>一、污水处理厂运行经费</t>
  </si>
  <si>
    <t>2121401污水处理设施建设和运营</t>
  </si>
  <si>
    <t>当年污水处理费收入</t>
  </si>
  <si>
    <t>二、污水处理费征收手续费</t>
  </si>
  <si>
    <t>2121402代征手续费</t>
  </si>
  <si>
    <t>调出资金</t>
  </si>
  <si>
    <t>合   计</t>
  </si>
  <si>
    <t>附件9</t>
  </si>
  <si>
    <t>龙胜各族自治县2023年城市基础设施配套费收入预算调整表</t>
  </si>
  <si>
    <t>预算调整金额</t>
  </si>
  <si>
    <t>县城照明及景观灯设施管理专项经费</t>
  </si>
  <si>
    <t>2121301城市公共设施</t>
  </si>
  <si>
    <t>城市基础设施配套费当年收入</t>
  </si>
  <si>
    <t>县城园林绿化管理</t>
  </si>
  <si>
    <t>2121302城市环境卫生</t>
  </si>
  <si>
    <t>附件10</t>
  </si>
  <si>
    <t>2023年龙胜各族自治县机关事业单位基本养老保险基金收支预算调整表</t>
  </si>
  <si>
    <t>社预04表</t>
  </si>
  <si>
    <t>单位：元</t>
  </si>
  <si>
    <t>项         目</t>
  </si>
  <si>
    <t>年初预算数</t>
  </si>
  <si>
    <t>调整数</t>
  </si>
  <si>
    <t>调整后预算数</t>
  </si>
  <si>
    <t>一、基本养老保险费收入</t>
  </si>
  <si>
    <t>一、基本养老金支出</t>
  </si>
  <si>
    <t xml:space="preserve">    其中：当期征缴收入</t>
  </si>
  <si>
    <t>二、转移支出</t>
  </si>
  <si>
    <t>二、财政补贴收入</t>
  </si>
  <si>
    <t>三、其他支出</t>
  </si>
  <si>
    <t xml:space="preserve">    其中：地方财政补贴</t>
  </si>
  <si>
    <t>×</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</si>
  <si>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</si>
  <si>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</si>
  <si>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</si>
  <si>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</si>
  <si>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</si>
  <si>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</si>
  <si>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</si>
  <si>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</si>
  <si>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</si>
  <si>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</si>
  <si>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</si>
  <si>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</si>
  <si>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</si>
  <si>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</si>
  <si>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</si>
  <si>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总        计</t>
  </si>
  <si>
    <t>附件11</t>
  </si>
  <si>
    <t>2023年龙胜各族自治县城乡居民基本养老保险基金收支预算调整表</t>
  </si>
  <si>
    <t>社预03表</t>
  </si>
  <si>
    <t>项          目</t>
  </si>
  <si>
    <t>一、个人缴费收入</t>
  </si>
  <si>
    <t>一、基础养老金支出</t>
  </si>
  <si>
    <t xml:space="preserve">    其中:财政为困难人员代缴收入</t>
  </si>
  <si>
    <t>二、个人账户养老金支出</t>
  </si>
  <si>
    <t>三、丧葬补助金支出</t>
  </si>
  <si>
    <t xml:space="preserve">    其中:财政对基础养老金的补贴</t>
  </si>
  <si>
    <t>四、转移支出</t>
  </si>
  <si>
    <t xml:space="preserve">         财政对个人缴费的补贴</t>
  </si>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</sst>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yyyy&quot;年&quot;m&quot;月&quot;d&quot;日&quot;;@"/>
    <numFmt numFmtId="179" formatCode="#,##0.00_ "/>
    <numFmt numFmtId="180" formatCode="_ * #,##0_ ;_ * \-#,##0_ ;_ * &quot;-&quot;??_ ;_ @_ "/>
    <numFmt numFmtId="181" formatCode="#,##0_ "/>
    <numFmt numFmtId="182" formatCode="yyyy/mm/dd;@"/>
  </numFmts>
  <fonts count="78">
    <font>
      <sz val="11"/>
      <color theme="1"/>
      <name val="宋体"/>
      <charset val="134"/>
      <scheme val="minor"/>
    </font>
    <font>
      <sz val="10"/>
      <name val="宋体"/>
      <charset val="134"/>
    </font>
    <font>
      <sz val="12"/>
      <name val="宋体"/>
      <charset val="134"/>
    </font>
    <font>
      <sz val="16"/>
      <color indexed="8"/>
      <name val="宋体"/>
      <charset val="1"/>
    </font>
    <font>
      <b/>
      <sz val="12"/>
      <color indexed="8"/>
      <name val="宋体"/>
      <charset val="1"/>
    </font>
    <font>
      <sz val="10"/>
      <color indexed="8"/>
      <name val="宋体"/>
      <charset val="1"/>
    </font>
    <font>
      <sz val="10"/>
      <name val="宋体"/>
      <charset val="1"/>
    </font>
    <font>
      <sz val="11"/>
      <color indexed="8"/>
      <name val="宋体"/>
      <charset val="1"/>
    </font>
    <font>
      <sz val="12"/>
      <color indexed="8"/>
      <name val="宋体"/>
      <charset val="1"/>
    </font>
    <font>
      <b/>
      <sz val="15"/>
      <color indexed="8"/>
      <name val="华文中宋"/>
      <charset val="1"/>
    </font>
    <font>
      <b/>
      <sz val="16"/>
      <name val="宋体"/>
      <charset val="134"/>
    </font>
    <font>
      <b/>
      <sz val="12"/>
      <name val="宋体"/>
      <charset val="134"/>
    </font>
    <font>
      <sz val="12"/>
      <name val="仿宋"/>
      <charset val="134"/>
    </font>
    <font>
      <sz val="12"/>
      <color theme="1"/>
      <name val="仿宋"/>
      <charset val="134"/>
    </font>
    <font>
      <b/>
      <sz val="18"/>
      <name val="宋体"/>
      <charset val="134"/>
    </font>
    <font>
      <b/>
      <sz val="12"/>
      <name val="仿宋"/>
      <charset val="134"/>
    </font>
    <font>
      <sz val="12"/>
      <name val="仿宋"/>
      <charset val="0"/>
    </font>
    <font>
      <sz val="14"/>
      <color theme="1"/>
      <name val="宋体"/>
      <charset val="134"/>
      <scheme val="minor"/>
    </font>
    <font>
      <b/>
      <sz val="20"/>
      <name val="宋体"/>
      <charset val="134"/>
    </font>
    <font>
      <b/>
      <sz val="12"/>
      <name val="仿宋_GB2312"/>
      <charset val="134"/>
    </font>
    <font>
      <b/>
      <sz val="14"/>
      <color theme="1"/>
      <name val="仿宋_GB2312"/>
      <charset val="134"/>
    </font>
    <font>
      <sz val="12"/>
      <color theme="1"/>
      <name val="仿宋_GB2312"/>
      <charset val="134"/>
    </font>
    <font>
      <sz val="10"/>
      <name val="仿宋"/>
      <charset val="134"/>
    </font>
    <font>
      <sz val="8"/>
      <name val="宋体"/>
      <charset val="134"/>
    </font>
    <font>
      <b/>
      <sz val="11"/>
      <color theme="1"/>
      <name val="宋体"/>
      <charset val="134"/>
      <scheme val="minor"/>
    </font>
    <font>
      <b/>
      <sz val="11"/>
      <name val="宋体"/>
      <charset val="134"/>
    </font>
    <font>
      <b/>
      <sz val="10"/>
      <name val="仿宋"/>
      <charset val="134"/>
    </font>
    <font>
      <sz val="11"/>
      <color theme="1"/>
      <name val="仿宋"/>
      <charset val="134"/>
    </font>
    <font>
      <sz val="10"/>
      <color indexed="8"/>
      <name val="仿宋"/>
      <charset val="134"/>
    </font>
    <font>
      <sz val="10"/>
      <color theme="1"/>
      <name val="仿宋"/>
      <charset val="134"/>
    </font>
    <font>
      <sz val="11"/>
      <color indexed="8"/>
      <name val="仿宋"/>
      <charset val="134"/>
    </font>
    <font>
      <sz val="12"/>
      <name val="黑体"/>
      <charset val="134"/>
    </font>
    <font>
      <sz val="11"/>
      <name val="宋体"/>
      <charset val="134"/>
      <scheme val="minor"/>
    </font>
    <font>
      <b/>
      <sz val="18"/>
      <name val="黑体"/>
      <charset val="134"/>
    </font>
    <font>
      <b/>
      <sz val="11"/>
      <name val="宋体"/>
      <charset val="134"/>
      <scheme val="minor"/>
    </font>
    <font>
      <b/>
      <sz val="9"/>
      <name val="宋体"/>
      <charset val="134"/>
    </font>
    <font>
      <b/>
      <sz val="9"/>
      <name val="宋体"/>
      <charset val="134"/>
      <scheme val="minor"/>
    </font>
    <font>
      <sz val="12"/>
      <color indexed="8"/>
      <name val="仿宋"/>
      <charset val="134"/>
    </font>
    <font>
      <sz val="12"/>
      <color indexed="8"/>
      <name val="宋体"/>
      <charset val="134"/>
    </font>
    <font>
      <b/>
      <sz val="12"/>
      <color theme="1"/>
      <name val="仿宋_GB2312"/>
      <charset val="134"/>
    </font>
    <font>
      <sz val="11"/>
      <color theme="1"/>
      <name val="仿宋_GB2312"/>
      <charset val="134"/>
    </font>
    <font>
      <b/>
      <sz val="16"/>
      <name val="黑体"/>
      <charset val="134"/>
    </font>
    <font>
      <b/>
      <sz val="11"/>
      <color theme="1"/>
      <name val="宋体"/>
      <charset val="134"/>
    </font>
    <font>
      <sz val="11"/>
      <name val="仿宋"/>
      <charset val="134"/>
    </font>
    <font>
      <sz val="11"/>
      <color theme="1"/>
      <name val="宋体"/>
      <charset val="134"/>
    </font>
    <font>
      <sz val="11"/>
      <color rgb="FFFF0000"/>
      <name val="仿宋"/>
      <charset val="134"/>
    </font>
    <font>
      <sz val="11"/>
      <name val="宋体"/>
      <charset val="134"/>
    </font>
    <font>
      <sz val="9"/>
      <color theme="1"/>
      <name val="宋体"/>
      <charset val="134"/>
      <scheme val="minor"/>
    </font>
    <font>
      <sz val="9"/>
      <color indexed="8"/>
      <name val="宋体"/>
      <charset val="134"/>
    </font>
    <font>
      <sz val="9"/>
      <name val="宋体"/>
      <charset val="134"/>
      <scheme val="minor"/>
    </font>
    <font>
      <sz val="9"/>
      <name val="宋体"/>
      <charset val="134"/>
    </font>
    <font>
      <sz val="7"/>
      <name val="宋体"/>
      <charset val="134"/>
    </font>
    <font>
      <sz val="7.5"/>
      <name val="宋体"/>
      <charset val="134"/>
    </font>
    <font>
      <sz val="8.5"/>
      <name val="宋体"/>
      <charset val="134"/>
    </font>
    <font>
      <b/>
      <sz val="7.5"/>
      <name val="宋体"/>
      <charset val="134"/>
      <scheme val="minor"/>
    </font>
    <font>
      <sz val="6"/>
      <name val="宋体"/>
      <charset val="134"/>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scheme val="minor"/>
    </font>
    <font>
      <sz val="9"/>
      <color theme="1"/>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4" borderId="17"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8" applyNumberFormat="0" applyFill="0" applyAlignment="0" applyProtection="0">
      <alignment vertical="center"/>
    </xf>
    <xf numFmtId="0" fontId="63" fillId="0" borderId="18" applyNumberFormat="0" applyFill="0" applyAlignment="0" applyProtection="0">
      <alignment vertical="center"/>
    </xf>
    <xf numFmtId="0" fontId="64" fillId="0" borderId="19" applyNumberFormat="0" applyFill="0" applyAlignment="0" applyProtection="0">
      <alignment vertical="center"/>
    </xf>
    <xf numFmtId="0" fontId="64" fillId="0" borderId="0" applyNumberFormat="0" applyFill="0" applyBorder="0" applyAlignment="0" applyProtection="0">
      <alignment vertical="center"/>
    </xf>
    <xf numFmtId="0" fontId="65" fillId="5" borderId="20" applyNumberFormat="0" applyAlignment="0" applyProtection="0">
      <alignment vertical="center"/>
    </xf>
    <xf numFmtId="0" fontId="66" fillId="6" borderId="21" applyNumberFormat="0" applyAlignment="0" applyProtection="0">
      <alignment vertical="center"/>
    </xf>
    <xf numFmtId="0" fontId="67" fillId="6" borderId="20" applyNumberFormat="0" applyAlignment="0" applyProtection="0">
      <alignment vertical="center"/>
    </xf>
    <xf numFmtId="0" fontId="68" fillId="7" borderId="22" applyNumberFormat="0" applyAlignment="0" applyProtection="0">
      <alignment vertical="center"/>
    </xf>
    <xf numFmtId="0" fontId="69" fillId="0" borderId="23" applyNumberFormat="0" applyFill="0" applyAlignment="0" applyProtection="0">
      <alignment vertical="center"/>
    </xf>
    <xf numFmtId="0" fontId="70" fillId="0" borderId="24" applyNumberFormat="0" applyFill="0" applyAlignment="0" applyProtection="0">
      <alignment vertical="center"/>
    </xf>
    <xf numFmtId="0" fontId="71" fillId="8" borderId="0" applyNumberFormat="0" applyBorder="0" applyAlignment="0" applyProtection="0">
      <alignment vertical="center"/>
    </xf>
    <xf numFmtId="0" fontId="72" fillId="9"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5" fillId="12" borderId="0" applyNumberFormat="0" applyBorder="0" applyAlignment="0" applyProtection="0">
      <alignment vertical="center"/>
    </xf>
    <xf numFmtId="0" fontId="75" fillId="13" borderId="0" applyNumberFormat="0" applyBorder="0" applyAlignment="0" applyProtection="0">
      <alignment vertical="center"/>
    </xf>
    <xf numFmtId="0" fontId="74" fillId="14" borderId="0" applyNumberFormat="0" applyBorder="0" applyAlignment="0" applyProtection="0">
      <alignment vertical="center"/>
    </xf>
    <xf numFmtId="0" fontId="74" fillId="15" borderId="0" applyNumberFormat="0" applyBorder="0" applyAlignment="0" applyProtection="0">
      <alignment vertical="center"/>
    </xf>
    <xf numFmtId="0" fontId="75" fillId="16" borderId="0" applyNumberFormat="0" applyBorder="0" applyAlignment="0" applyProtection="0">
      <alignment vertical="center"/>
    </xf>
    <xf numFmtId="0" fontId="75" fillId="17" borderId="0" applyNumberFormat="0" applyBorder="0" applyAlignment="0" applyProtection="0">
      <alignment vertical="center"/>
    </xf>
    <xf numFmtId="0" fontId="74" fillId="18" borderId="0" applyNumberFormat="0" applyBorder="0" applyAlignment="0" applyProtection="0">
      <alignment vertical="center"/>
    </xf>
    <xf numFmtId="0" fontId="74" fillId="19" borderId="0" applyNumberFormat="0" applyBorder="0" applyAlignment="0" applyProtection="0">
      <alignment vertical="center"/>
    </xf>
    <xf numFmtId="0" fontId="75" fillId="20" borderId="0" applyNumberFormat="0" applyBorder="0" applyAlignment="0" applyProtection="0">
      <alignment vertical="center"/>
    </xf>
    <xf numFmtId="0" fontId="75" fillId="21" borderId="0" applyNumberFormat="0" applyBorder="0" applyAlignment="0" applyProtection="0">
      <alignment vertical="center"/>
    </xf>
    <xf numFmtId="0" fontId="74" fillId="22" borderId="0" applyNumberFormat="0" applyBorder="0" applyAlignment="0" applyProtection="0">
      <alignment vertical="center"/>
    </xf>
    <xf numFmtId="0" fontId="74" fillId="23" borderId="0" applyNumberFormat="0" applyBorder="0" applyAlignment="0" applyProtection="0">
      <alignment vertical="center"/>
    </xf>
    <xf numFmtId="0" fontId="75" fillId="24" borderId="0" applyNumberFormat="0" applyBorder="0" applyAlignment="0" applyProtection="0">
      <alignment vertical="center"/>
    </xf>
    <xf numFmtId="0" fontId="75" fillId="25" borderId="0" applyNumberFormat="0" applyBorder="0" applyAlignment="0" applyProtection="0">
      <alignment vertical="center"/>
    </xf>
    <xf numFmtId="0" fontId="74" fillId="26" borderId="0" applyNumberFormat="0" applyBorder="0" applyAlignment="0" applyProtection="0">
      <alignment vertical="center"/>
    </xf>
    <xf numFmtId="0" fontId="74" fillId="27" borderId="0" applyNumberFormat="0" applyBorder="0" applyAlignment="0" applyProtection="0">
      <alignment vertical="center"/>
    </xf>
    <xf numFmtId="0" fontId="75" fillId="28" borderId="0" applyNumberFormat="0" applyBorder="0" applyAlignment="0" applyProtection="0">
      <alignment vertical="center"/>
    </xf>
    <xf numFmtId="0" fontId="75" fillId="29" borderId="0" applyNumberFormat="0" applyBorder="0" applyAlignment="0" applyProtection="0">
      <alignment vertical="center"/>
    </xf>
    <xf numFmtId="0" fontId="74" fillId="30" borderId="0" applyNumberFormat="0" applyBorder="0" applyAlignment="0" applyProtection="0">
      <alignment vertical="center"/>
    </xf>
    <xf numFmtId="0" fontId="74" fillId="31" borderId="0" applyNumberFormat="0" applyBorder="0" applyAlignment="0" applyProtection="0">
      <alignment vertical="center"/>
    </xf>
    <xf numFmtId="0" fontId="75" fillId="32" borderId="0" applyNumberFormat="0" applyBorder="0" applyAlignment="0" applyProtection="0">
      <alignment vertical="center"/>
    </xf>
    <xf numFmtId="0" fontId="75" fillId="33" borderId="0" applyNumberFormat="0" applyBorder="0" applyAlignment="0" applyProtection="0">
      <alignment vertical="center"/>
    </xf>
    <xf numFmtId="0" fontId="74" fillId="34" borderId="0" applyNumberFormat="0" applyBorder="0" applyAlignment="0" applyProtection="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50" fillId="0" borderId="0">
      <alignment vertical="center"/>
    </xf>
    <xf numFmtId="0" fontId="0" fillId="0" borderId="0">
      <alignment vertical="center"/>
    </xf>
    <xf numFmtId="0" fontId="2" fillId="0" borderId="0">
      <alignment vertical="center"/>
    </xf>
    <xf numFmtId="0" fontId="0" fillId="0" borderId="0"/>
  </cellStyleXfs>
  <cellXfs count="369">
    <xf numFmtId="0" fontId="0" fillId="0" borderId="0" xfId="0">
      <alignment vertical="center"/>
    </xf>
    <xf numFmtId="0" fontId="0" fillId="0" borderId="0" xfId="55" applyFont="1" applyFill="1" applyAlignment="1"/>
    <xf numFmtId="0" fontId="1" fillId="0" borderId="0" xfId="55" applyFont="1" applyFill="1" applyAlignment="1"/>
    <xf numFmtId="0" fontId="2" fillId="0" borderId="0" xfId="0" applyFont="1" applyFill="1" applyBorder="1" applyAlignment="1">
      <alignment vertical="center"/>
    </xf>
    <xf numFmtId="0" fontId="3" fillId="2" borderId="0" xfId="55" applyFont="1" applyFill="1" applyAlignment="1">
      <alignment horizontal="center" vertical="center"/>
    </xf>
    <xf numFmtId="0" fontId="3" fillId="2" borderId="0" xfId="55" applyFont="1" applyFill="1" applyAlignment="1">
      <alignment vertical="center"/>
    </xf>
    <xf numFmtId="0" fontId="3" fillId="2" borderId="0" xfId="55" applyFont="1" applyFill="1" applyAlignment="1">
      <alignment horizontal="left" vertical="center"/>
    </xf>
    <xf numFmtId="0" fontId="4" fillId="2" borderId="0" xfId="55" applyFont="1" applyFill="1" applyAlignment="1">
      <alignment horizontal="center" vertical="center"/>
    </xf>
    <xf numFmtId="0" fontId="5" fillId="2" borderId="0" xfId="55" applyFont="1" applyFill="1" applyAlignment="1">
      <alignment vertical="center"/>
    </xf>
    <xf numFmtId="0" fontId="5" fillId="2" borderId="0" xfId="55" applyFont="1" applyFill="1" applyAlignment="1">
      <alignment horizontal="left" vertical="center"/>
    </xf>
    <xf numFmtId="0" fontId="6" fillId="2" borderId="0" xfId="55" applyFont="1" applyFill="1" applyAlignment="1"/>
    <xf numFmtId="0" fontId="7" fillId="2" borderId="0" xfId="55" applyFont="1" applyFill="1" applyAlignment="1">
      <alignment horizontal="right" vertical="center"/>
    </xf>
    <xf numFmtId="0" fontId="8" fillId="2" borderId="1" xfId="55" applyFont="1" applyFill="1" applyBorder="1" applyAlignment="1">
      <alignment vertical="center"/>
    </xf>
    <xf numFmtId="0" fontId="5" fillId="2" borderId="1" xfId="55" applyFont="1" applyFill="1" applyBorder="1" applyAlignment="1">
      <alignment vertical="center"/>
    </xf>
    <xf numFmtId="0" fontId="5" fillId="2" borderId="1" xfId="55" applyFont="1" applyFill="1" applyBorder="1" applyAlignment="1">
      <alignment horizontal="left" vertical="center"/>
    </xf>
    <xf numFmtId="0" fontId="6" fillId="2" borderId="1" xfId="55" applyFont="1" applyFill="1" applyBorder="1" applyAlignment="1"/>
    <xf numFmtId="0" fontId="6" fillId="2" borderId="1" xfId="55" applyFont="1" applyFill="1" applyBorder="1" applyAlignment="1">
      <alignment horizontal="right"/>
    </xf>
    <xf numFmtId="0" fontId="7" fillId="2" borderId="1" xfId="55" applyFont="1" applyFill="1" applyBorder="1" applyAlignment="1">
      <alignment horizontal="right" vertical="center"/>
    </xf>
    <xf numFmtId="0" fontId="8" fillId="2" borderId="2" xfId="55" applyFont="1" applyFill="1" applyBorder="1" applyAlignment="1">
      <alignment horizontal="center" vertical="center"/>
    </xf>
    <xf numFmtId="0" fontId="8" fillId="0" borderId="2" xfId="55" applyFont="1" applyFill="1" applyBorder="1" applyAlignment="1">
      <alignment vertical="center"/>
    </xf>
    <xf numFmtId="176" fontId="8" fillId="0" borderId="2" xfId="55" applyNumberFormat="1" applyFont="1" applyFill="1" applyBorder="1" applyAlignment="1">
      <alignment horizontal="right" vertical="center"/>
    </xf>
    <xf numFmtId="0" fontId="5" fillId="0" borderId="2" xfId="55" applyFont="1" applyFill="1" applyBorder="1" applyAlignment="1">
      <alignment vertical="center" wrapText="1"/>
    </xf>
    <xf numFmtId="0" fontId="5" fillId="0" borderId="2" xfId="55" applyFont="1" applyFill="1" applyBorder="1" applyAlignment="1">
      <alignment vertical="center"/>
    </xf>
    <xf numFmtId="176" fontId="8" fillId="0" borderId="2" xfId="55" applyNumberFormat="1" applyFont="1" applyFill="1" applyBorder="1" applyAlignment="1">
      <alignment horizontal="left" vertical="center"/>
    </xf>
    <xf numFmtId="49" fontId="8" fillId="0" borderId="2" xfId="55" applyNumberFormat="1" applyFont="1" applyFill="1" applyBorder="1" applyAlignment="1">
      <alignment horizontal="center" vertical="center"/>
    </xf>
    <xf numFmtId="0" fontId="8" fillId="0" borderId="2" xfId="55" applyFont="1" applyFill="1" applyBorder="1" applyAlignment="1">
      <alignment horizontal="center" vertical="center"/>
    </xf>
    <xf numFmtId="0" fontId="8" fillId="0" borderId="0" xfId="55" applyFont="1" applyFill="1" applyAlignment="1">
      <alignment vertical="center"/>
    </xf>
    <xf numFmtId="0" fontId="5" fillId="0" borderId="0" xfId="55" applyFont="1" applyFill="1" applyAlignment="1">
      <alignment vertical="center"/>
    </xf>
    <xf numFmtId="0" fontId="5" fillId="0" borderId="0" xfId="55" applyFont="1" applyFill="1" applyAlignment="1">
      <alignment horizontal="left" vertical="center"/>
    </xf>
    <xf numFmtId="0" fontId="5" fillId="0" borderId="0" xfId="55" applyFont="1" applyFill="1" applyAlignment="1">
      <alignment horizontal="right" vertical="center"/>
    </xf>
    <xf numFmtId="0" fontId="0" fillId="0" borderId="0" xfId="55"/>
    <xf numFmtId="0" fontId="1" fillId="0" borderId="0" xfId="55" applyFont="1" applyFill="1"/>
    <xf numFmtId="0" fontId="9" fillId="2" borderId="0" xfId="55" applyFont="1" applyFill="1" applyAlignment="1">
      <alignment horizontal="center" vertical="center"/>
    </xf>
    <xf numFmtId="0" fontId="6" fillId="2" borderId="0" xfId="55" applyFont="1" applyFill="1"/>
    <xf numFmtId="0" fontId="9" fillId="2" borderId="0" xfId="55" applyFont="1" applyFill="1" applyAlignment="1">
      <alignment horizontal="left" vertical="center"/>
    </xf>
    <xf numFmtId="0" fontId="7" fillId="2" borderId="1" xfId="55" applyFont="1" applyFill="1" applyBorder="1" applyAlignment="1">
      <alignment vertical="center"/>
    </xf>
    <xf numFmtId="0" fontId="7" fillId="2" borderId="3" xfId="55" applyFont="1" applyFill="1" applyBorder="1" applyAlignment="1">
      <alignment vertical="center"/>
    </xf>
    <xf numFmtId="0" fontId="6" fillId="2" borderId="1" xfId="55" applyFont="1" applyFill="1" applyBorder="1"/>
    <xf numFmtId="0" fontId="7" fillId="2" borderId="1" xfId="55" applyFont="1" applyFill="1" applyBorder="1" applyAlignment="1">
      <alignment horizontal="left" vertical="center"/>
    </xf>
    <xf numFmtId="49" fontId="7" fillId="2" borderId="2" xfId="55" applyNumberFormat="1" applyFont="1" applyFill="1" applyBorder="1" applyAlignment="1">
      <alignment horizontal="center" vertical="center"/>
    </xf>
    <xf numFmtId="49" fontId="7" fillId="2" borderId="4" xfId="55" applyNumberFormat="1" applyFont="1" applyFill="1" applyBorder="1" applyAlignment="1">
      <alignment horizontal="center" vertical="center"/>
    </xf>
    <xf numFmtId="49" fontId="7" fillId="2" borderId="2" xfId="55" applyNumberFormat="1" applyFont="1" applyFill="1" applyBorder="1" applyAlignment="1">
      <alignment vertical="center"/>
    </xf>
    <xf numFmtId="177" fontId="5" fillId="0" borderId="2" xfId="55" applyNumberFormat="1" applyFont="1" applyFill="1" applyBorder="1" applyAlignment="1">
      <alignment horizontal="right" vertical="center"/>
    </xf>
    <xf numFmtId="176" fontId="5" fillId="0" borderId="2" xfId="55" applyNumberFormat="1" applyFont="1" applyFill="1" applyBorder="1" applyAlignment="1">
      <alignment horizontal="right" vertical="center"/>
    </xf>
    <xf numFmtId="177" fontId="5" fillId="0" borderId="5" xfId="55" applyNumberFormat="1" applyFont="1" applyFill="1" applyBorder="1" applyAlignment="1">
      <alignment horizontal="right" vertical="center"/>
    </xf>
    <xf numFmtId="49" fontId="7" fillId="0" borderId="6" xfId="55" applyNumberFormat="1" applyFont="1" applyFill="1" applyBorder="1" applyAlignment="1">
      <alignment vertical="center"/>
    </xf>
    <xf numFmtId="49" fontId="5" fillId="0" borderId="2" xfId="55" applyNumberFormat="1" applyFont="1" applyFill="1" applyBorder="1" applyAlignment="1">
      <alignment horizontal="center" vertical="center"/>
    </xf>
    <xf numFmtId="49" fontId="5" fillId="2" borderId="2" xfId="55" applyNumberFormat="1" applyFont="1" applyFill="1" applyBorder="1" applyAlignment="1">
      <alignment horizontal="center" vertical="center"/>
    </xf>
    <xf numFmtId="49" fontId="5" fillId="0" borderId="5" xfId="55" applyNumberFormat="1" applyFont="1" applyFill="1" applyBorder="1" applyAlignment="1">
      <alignment horizontal="center" vertical="center"/>
    </xf>
    <xf numFmtId="49" fontId="7" fillId="0" borderId="6" xfId="55" applyNumberFormat="1" applyFont="1" applyFill="1" applyBorder="1" applyAlignment="1">
      <alignment horizontal="center" vertical="center"/>
    </xf>
    <xf numFmtId="49" fontId="7" fillId="0" borderId="7" xfId="55" applyNumberFormat="1" applyFont="1" applyFill="1" applyBorder="1" applyAlignment="1">
      <alignment horizontal="center" vertical="center"/>
    </xf>
    <xf numFmtId="49" fontId="7" fillId="0" borderId="7" xfId="55" applyNumberFormat="1" applyFont="1" applyFill="1" applyBorder="1" applyAlignment="1">
      <alignment horizontal="left" vertical="center"/>
    </xf>
    <xf numFmtId="49" fontId="7" fillId="0" borderId="7" xfId="55" applyNumberFormat="1" applyFont="1" applyFill="1" applyBorder="1" applyAlignment="1">
      <alignment horizontal="right" vertical="center"/>
    </xf>
    <xf numFmtId="0" fontId="2" fillId="0" borderId="0" xfId="0" applyFont="1" applyFill="1" applyAlignment="1">
      <alignment vertical="center"/>
    </xf>
    <xf numFmtId="0" fontId="10" fillId="0" borderId="0" xfId="51" applyFont="1" applyFill="1" applyBorder="1" applyAlignment="1">
      <alignment horizontal="center" vertical="center" wrapText="1"/>
    </xf>
    <xf numFmtId="0" fontId="11" fillId="0" borderId="1" xfId="51" applyFont="1" applyFill="1" applyBorder="1" applyAlignment="1">
      <alignment horizontal="left" vertical="center" wrapText="1"/>
    </xf>
    <xf numFmtId="0" fontId="2" fillId="0" borderId="1" xfId="0" applyFont="1" applyFill="1" applyBorder="1" applyAlignment="1">
      <alignment horizontal="left"/>
    </xf>
    <xf numFmtId="178" fontId="11" fillId="0" borderId="0" xfId="51" applyNumberFormat="1" applyFont="1" applyFill="1" applyBorder="1" applyAlignment="1">
      <alignment horizontal="center" vertical="center" wrapText="1"/>
    </xf>
    <xf numFmtId="0" fontId="11" fillId="0" borderId="0" xfId="51" applyFont="1" applyFill="1" applyBorder="1" applyAlignment="1">
      <alignment horizontal="center" vertical="center" wrapText="1"/>
    </xf>
    <xf numFmtId="0" fontId="11" fillId="0" borderId="8" xfId="51" applyFont="1" applyFill="1" applyBorder="1" applyAlignment="1">
      <alignment horizontal="center" vertical="center" wrapText="1"/>
    </xf>
    <xf numFmtId="0" fontId="2" fillId="0" borderId="9" xfId="0" applyFont="1" applyFill="1" applyBorder="1" applyAlignment="1">
      <alignment vertical="center"/>
    </xf>
    <xf numFmtId="0" fontId="11" fillId="0" borderId="2" xfId="51" applyFont="1" applyFill="1" applyBorder="1" applyAlignment="1">
      <alignment horizontal="center" vertical="center" wrapText="1"/>
    </xf>
    <xf numFmtId="0" fontId="2" fillId="0" borderId="2" xfId="0" applyFont="1" applyFill="1" applyBorder="1" applyAlignment="1">
      <alignment vertical="center"/>
    </xf>
    <xf numFmtId="0" fontId="11" fillId="0" borderId="10" xfId="51" applyFont="1" applyFill="1" applyBorder="1" applyAlignment="1">
      <alignment horizontal="center" vertical="center" wrapText="1"/>
    </xf>
    <xf numFmtId="43" fontId="11" fillId="0" borderId="10" xfId="50" applyNumberFormat="1" applyFont="1" applyFill="1" applyBorder="1" applyAlignment="1">
      <alignment horizontal="center" vertical="center" wrapText="1"/>
    </xf>
    <xf numFmtId="0" fontId="11" fillId="0" borderId="11" xfId="51" applyFont="1" applyFill="1" applyBorder="1" applyAlignment="1">
      <alignment horizontal="left" vertical="center" wrapText="1"/>
    </xf>
    <xf numFmtId="0" fontId="12" fillId="0" borderId="2" xfId="49" applyFont="1" applyFill="1" applyBorder="1" applyAlignment="1">
      <alignment horizontal="center" vertical="center" wrapText="1"/>
    </xf>
    <xf numFmtId="0" fontId="12" fillId="0" borderId="2" xfId="49" applyFont="1" applyFill="1" applyBorder="1" applyAlignment="1">
      <alignment vertical="center" wrapText="1"/>
    </xf>
    <xf numFmtId="179" fontId="12" fillId="0" borderId="2" xfId="50" applyNumberFormat="1" applyFont="1" applyFill="1" applyBorder="1" applyAlignment="1">
      <alignment vertical="center" wrapText="1"/>
    </xf>
    <xf numFmtId="0" fontId="12" fillId="0" borderId="2" xfId="51"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2" xfId="51" applyNumberFormat="1" applyFont="1" applyFill="1" applyBorder="1" applyAlignment="1">
      <alignment horizontal="left" vertical="center" wrapText="1"/>
    </xf>
    <xf numFmtId="179" fontId="2" fillId="2" borderId="2" xfId="50" applyNumberFormat="1" applyFont="1" applyFill="1" applyBorder="1" applyAlignment="1">
      <alignment vertical="center" wrapText="1"/>
    </xf>
    <xf numFmtId="0" fontId="13" fillId="0" borderId="2" xfId="0" applyFont="1" applyFill="1" applyBorder="1" applyAlignment="1">
      <alignment horizontal="justify" vertical="center"/>
    </xf>
    <xf numFmtId="179" fontId="2" fillId="0" borderId="2" xfId="50" applyNumberFormat="1" applyFont="1" applyFill="1" applyBorder="1" applyAlignment="1">
      <alignment vertical="center" wrapText="1"/>
    </xf>
    <xf numFmtId="0" fontId="12" fillId="0" borderId="2" xfId="51" applyFont="1" applyFill="1" applyBorder="1" applyAlignment="1">
      <alignment horizontal="left" vertical="center" wrapText="1"/>
    </xf>
    <xf numFmtId="0" fontId="2" fillId="0" borderId="2" xfId="51" applyFont="1" applyFill="1" applyBorder="1" applyAlignment="1">
      <alignment horizontal="left" vertical="center" wrapText="1"/>
    </xf>
    <xf numFmtId="0" fontId="2" fillId="0" borderId="2" xfId="49" applyFont="1" applyFill="1" applyBorder="1" applyAlignment="1">
      <alignment vertical="center" wrapText="1"/>
    </xf>
    <xf numFmtId="180" fontId="2" fillId="0" borderId="2" xfId="50" applyNumberFormat="1" applyFont="1" applyFill="1" applyBorder="1" applyAlignment="1">
      <alignment vertical="center" wrapText="1"/>
    </xf>
    <xf numFmtId="0" fontId="2" fillId="0" borderId="2" xfId="51" applyNumberFormat="1" applyFont="1" applyFill="1" applyBorder="1" applyAlignment="1">
      <alignment horizontal="left" vertical="center" wrapText="1"/>
    </xf>
    <xf numFmtId="0" fontId="11" fillId="0" borderId="2" xfId="51" applyFont="1" applyFill="1" applyBorder="1" applyAlignment="1">
      <alignment vertical="center" wrapText="1"/>
    </xf>
    <xf numFmtId="180" fontId="2" fillId="0" borderId="2" xfId="49" applyNumberFormat="1" applyFont="1" applyFill="1" applyBorder="1" applyAlignment="1">
      <alignment vertical="center" wrapText="1"/>
    </xf>
    <xf numFmtId="180" fontId="2" fillId="0" borderId="2" xfId="50" applyNumberFormat="1" applyFont="1" applyFill="1" applyBorder="1" applyAlignment="1">
      <alignment vertical="center"/>
    </xf>
    <xf numFmtId="0" fontId="11" fillId="0" borderId="2" xfId="49" applyFont="1" applyFill="1" applyBorder="1" applyAlignment="1">
      <alignment vertical="center" wrapText="1"/>
    </xf>
    <xf numFmtId="180" fontId="11" fillId="0" borderId="2" xfId="50" applyNumberFormat="1" applyFont="1" applyFill="1" applyBorder="1" applyAlignment="1">
      <alignment vertical="center"/>
    </xf>
    <xf numFmtId="0" fontId="2" fillId="0" borderId="2" xfId="51" applyFont="1" applyFill="1" applyBorder="1" applyAlignment="1">
      <alignment horizontal="center" vertical="center" wrapText="1"/>
    </xf>
    <xf numFmtId="179" fontId="2" fillId="0" borderId="2" xfId="0" applyNumberFormat="1" applyFont="1" applyFill="1" applyBorder="1" applyAlignment="1">
      <alignment vertical="center"/>
    </xf>
    <xf numFmtId="179" fontId="10" fillId="0" borderId="0" xfId="51" applyNumberFormat="1" applyFont="1" applyFill="1" applyBorder="1" applyAlignment="1">
      <alignment horizontal="center" vertical="center" wrapText="1"/>
    </xf>
    <xf numFmtId="179" fontId="11" fillId="0" borderId="0" xfId="51" applyNumberFormat="1" applyFont="1" applyFill="1" applyBorder="1" applyAlignment="1">
      <alignment horizontal="center" vertical="center" wrapText="1"/>
    </xf>
    <xf numFmtId="179" fontId="12" fillId="2" borderId="2" xfId="50" applyNumberFormat="1" applyFont="1" applyFill="1" applyBorder="1" applyAlignment="1">
      <alignment vertical="center" wrapText="1"/>
    </xf>
    <xf numFmtId="0" fontId="14" fillId="0" borderId="0" xfId="51" applyFont="1" applyFill="1" applyBorder="1" applyAlignment="1">
      <alignment horizontal="center" vertical="center" wrapText="1"/>
    </xf>
    <xf numFmtId="0" fontId="2" fillId="0" borderId="0" xfId="0" applyFont="1" applyFill="1" applyBorder="1" applyAlignment="1">
      <alignment horizontal="left"/>
    </xf>
    <xf numFmtId="0" fontId="11" fillId="0" borderId="1" xfId="51" applyFont="1" applyFill="1" applyBorder="1" applyAlignment="1">
      <alignment horizontal="center" vertical="center" wrapText="1"/>
    </xf>
    <xf numFmtId="0" fontId="11" fillId="0" borderId="2" xfId="51" applyFont="1" applyFill="1" applyBorder="1" applyAlignment="1">
      <alignment horizontal="left" vertical="center" wrapText="1"/>
    </xf>
    <xf numFmtId="179" fontId="12" fillId="0" borderId="2" xfId="0" applyNumberFormat="1" applyFont="1" applyFill="1" applyBorder="1" applyAlignment="1">
      <alignment vertical="center"/>
    </xf>
    <xf numFmtId="0" fontId="12" fillId="0" borderId="2" xfId="0" applyFont="1" applyFill="1" applyBorder="1" applyAlignment="1">
      <alignment vertical="center"/>
    </xf>
    <xf numFmtId="0" fontId="15" fillId="0" borderId="2" xfId="51" applyFont="1" applyFill="1" applyBorder="1" applyAlignment="1">
      <alignment vertical="center" wrapText="1"/>
    </xf>
    <xf numFmtId="0" fontId="15" fillId="0" borderId="2" xfId="49" applyFont="1" applyFill="1" applyBorder="1" applyAlignment="1">
      <alignment vertical="center" wrapText="1"/>
    </xf>
    <xf numFmtId="179" fontId="16" fillId="0" borderId="2" xfId="50" applyNumberFormat="1" applyFont="1" applyFill="1" applyBorder="1" applyAlignment="1">
      <alignment vertical="center" wrapText="1"/>
    </xf>
    <xf numFmtId="179" fontId="12" fillId="0" borderId="2" xfId="49" applyNumberFormat="1" applyFont="1" applyFill="1" applyBorder="1" applyAlignment="1">
      <alignment vertical="center" wrapText="1"/>
    </xf>
    <xf numFmtId="179" fontId="12" fillId="0" borderId="2" xfId="50" applyNumberFormat="1" applyFont="1" applyFill="1" applyBorder="1" applyAlignment="1">
      <alignment vertical="center"/>
    </xf>
    <xf numFmtId="179" fontId="15" fillId="0" borderId="2" xfId="50" applyNumberFormat="1" applyFont="1" applyFill="1" applyBorder="1" applyAlignment="1">
      <alignment vertical="center"/>
    </xf>
    <xf numFmtId="179" fontId="11" fillId="0" borderId="2" xfId="50" applyNumberFormat="1" applyFont="1" applyFill="1" applyBorder="1" applyAlignment="1">
      <alignment vertical="center" wrapText="1"/>
    </xf>
    <xf numFmtId="179" fontId="11" fillId="0" borderId="2" xfId="0" applyNumberFormat="1" applyFont="1" applyFill="1" applyBorder="1" applyAlignment="1">
      <alignment vertical="center"/>
    </xf>
    <xf numFmtId="0" fontId="17" fillId="0" borderId="0" xfId="0" applyFont="1">
      <alignment vertical="center"/>
    </xf>
    <xf numFmtId="0" fontId="0" fillId="0" borderId="0" xfId="0" applyAlignment="1">
      <alignment vertical="center" wrapText="1"/>
    </xf>
    <xf numFmtId="179" fontId="0" fillId="0" borderId="0" xfId="0" applyNumberFormat="1">
      <alignment vertical="center"/>
    </xf>
    <xf numFmtId="0" fontId="18" fillId="3" borderId="0" xfId="0" applyFont="1" applyFill="1" applyBorder="1" applyAlignment="1">
      <alignment horizontal="center" vertical="center" wrapText="1"/>
    </xf>
    <xf numFmtId="179" fontId="18" fillId="3" borderId="0" xfId="0"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178" fontId="19" fillId="3" borderId="1" xfId="0" applyNumberFormat="1" applyFont="1" applyFill="1" applyBorder="1" applyAlignment="1">
      <alignment horizontal="center" vertical="center" wrapText="1"/>
    </xf>
    <xf numFmtId="179" fontId="19" fillId="3" borderId="1" xfId="0" applyNumberFormat="1" applyFont="1" applyFill="1" applyBorder="1" applyAlignment="1">
      <alignment vertical="center" wrapText="1"/>
    </xf>
    <xf numFmtId="0" fontId="20" fillId="3" borderId="2" xfId="0" applyFont="1" applyFill="1" applyBorder="1" applyAlignment="1">
      <alignment horizontal="center" vertical="center" wrapText="1"/>
    </xf>
    <xf numFmtId="179" fontId="20"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179" fontId="12" fillId="2" borderId="2" xfId="50" applyNumberFormat="1" applyFont="1" applyFill="1" applyBorder="1" applyAlignment="1">
      <alignment horizontal="left" vertical="center" wrapText="1"/>
    </xf>
    <xf numFmtId="179" fontId="12" fillId="0" borderId="2" xfId="0" applyNumberFormat="1" applyFont="1" applyFill="1" applyBorder="1" applyAlignment="1">
      <alignment horizontal="center" vertical="center" wrapText="1"/>
    </xf>
    <xf numFmtId="0" fontId="22" fillId="0" borderId="2" xfId="49" applyFont="1" applyFill="1" applyBorder="1" applyAlignment="1">
      <alignment horizontal="left" vertical="center" wrapText="1"/>
    </xf>
    <xf numFmtId="179" fontId="15" fillId="2" borderId="2" xfId="50" applyNumberFormat="1" applyFont="1" applyFill="1" applyBorder="1" applyAlignment="1">
      <alignment horizontal="center" vertical="center" wrapText="1"/>
    </xf>
    <xf numFmtId="0" fontId="12" fillId="0" borderId="2" xfId="49" applyFont="1" applyFill="1" applyBorder="1" applyAlignment="1">
      <alignment horizontal="left" vertical="center" wrapText="1"/>
    </xf>
    <xf numFmtId="0" fontId="15" fillId="0" borderId="8" xfId="49" applyFont="1" applyFill="1" applyBorder="1" applyAlignment="1">
      <alignment vertical="center" wrapText="1"/>
    </xf>
    <xf numFmtId="179" fontId="12" fillId="0" borderId="2" xfId="51"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179" fontId="12" fillId="2" borderId="2" xfId="50" applyNumberFormat="1"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5" fillId="0" borderId="12" xfId="51" applyFont="1" applyFill="1" applyBorder="1" applyAlignment="1">
      <alignment horizontal="center" vertical="center" wrapText="1"/>
    </xf>
    <xf numFmtId="179" fontId="15" fillId="0" borderId="2" xfId="51" applyNumberFormat="1" applyFont="1" applyFill="1" applyBorder="1" applyAlignment="1">
      <alignment horizontal="center" vertical="center" wrapText="1"/>
    </xf>
    <xf numFmtId="0" fontId="0" fillId="0" borderId="0" xfId="0" applyFont="1" applyBorder="1">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179" fontId="0" fillId="0" borderId="0" xfId="0" applyNumberFormat="1" applyFont="1" applyFill="1" applyAlignment="1">
      <alignment vertical="center" wrapText="1"/>
    </xf>
    <xf numFmtId="0" fontId="0" fillId="0" borderId="0" xfId="0" applyFont="1" applyFill="1" applyAlignment="1">
      <alignment horizontal="left" vertical="center" wrapText="1"/>
    </xf>
    <xf numFmtId="0" fontId="23" fillId="0" borderId="0" xfId="0" applyFont="1" applyFill="1">
      <alignment vertical="center"/>
    </xf>
    <xf numFmtId="179" fontId="0" fillId="2" borderId="0" xfId="1" applyNumberFormat="1" applyFont="1" applyFill="1" applyAlignment="1">
      <alignment horizontal="right" vertical="center"/>
    </xf>
    <xf numFmtId="179" fontId="0" fillId="0" borderId="0" xfId="0" applyNumberFormat="1" applyAlignment="1">
      <alignment vertical="center" wrapText="1"/>
    </xf>
    <xf numFmtId="0" fontId="0" fillId="0" borderId="0" xfId="0" applyFill="1">
      <alignment vertical="center"/>
    </xf>
    <xf numFmtId="179" fontId="14" fillId="0" borderId="0" xfId="51" applyNumberFormat="1" applyFont="1" applyFill="1" applyBorder="1" applyAlignment="1">
      <alignment horizontal="center" vertical="center" wrapText="1"/>
    </xf>
    <xf numFmtId="0" fontId="11" fillId="0" borderId="0" xfId="51" applyFont="1" applyFill="1" applyBorder="1" applyAlignment="1">
      <alignment horizontal="left" vertical="center" wrapText="1"/>
    </xf>
    <xf numFmtId="0" fontId="24" fillId="0" borderId="0" xfId="0" applyFont="1" applyFill="1" applyBorder="1" applyAlignment="1">
      <alignment horizontal="left"/>
    </xf>
    <xf numFmtId="179" fontId="24" fillId="0" borderId="0" xfId="0" applyNumberFormat="1" applyFont="1" applyFill="1" applyBorder="1" applyAlignment="1">
      <alignment horizontal="left"/>
    </xf>
    <xf numFmtId="179" fontId="11" fillId="0" borderId="2" xfId="51" applyNumberFormat="1" applyFont="1" applyFill="1" applyBorder="1" applyAlignment="1">
      <alignment horizontal="center" vertical="center" wrapText="1"/>
    </xf>
    <xf numFmtId="0" fontId="25" fillId="0" borderId="10" xfId="51" applyFont="1" applyFill="1" applyBorder="1" applyAlignment="1">
      <alignment horizontal="center" vertical="center" wrapText="1"/>
    </xf>
    <xf numFmtId="179" fontId="25" fillId="0" borderId="10" xfId="50" applyNumberFormat="1" applyFont="1" applyFill="1" applyBorder="1" applyAlignment="1">
      <alignment horizontal="center" vertical="center" wrapText="1"/>
    </xf>
    <xf numFmtId="179" fontId="25" fillId="0" borderId="2" xfId="50" applyNumberFormat="1" applyFont="1" applyFill="1" applyBorder="1" applyAlignment="1">
      <alignment horizontal="center" vertical="center" wrapText="1"/>
    </xf>
    <xf numFmtId="0" fontId="25" fillId="0" borderId="13" xfId="51" applyFont="1" applyFill="1" applyBorder="1" applyAlignment="1">
      <alignment horizontal="center" vertical="center" wrapText="1"/>
    </xf>
    <xf numFmtId="0" fontId="25" fillId="0" borderId="14" xfId="51" applyFont="1" applyFill="1" applyBorder="1" applyAlignment="1">
      <alignment horizontal="center" vertical="center" wrapText="1"/>
    </xf>
    <xf numFmtId="179" fontId="25" fillId="0" borderId="14" xfId="1" applyNumberFormat="1" applyFont="1" applyFill="1" applyBorder="1" applyAlignment="1">
      <alignment horizontal="center" vertical="center" wrapText="1"/>
    </xf>
    <xf numFmtId="0" fontId="1" fillId="0" borderId="2" xfId="51" applyFont="1" applyFill="1" applyBorder="1" applyAlignment="1">
      <alignment horizontal="center" vertical="center" wrapText="1"/>
    </xf>
    <xf numFmtId="0" fontId="22" fillId="0" borderId="2" xfId="49" applyFont="1" applyFill="1" applyBorder="1" applyAlignment="1">
      <alignment vertical="center" wrapText="1"/>
    </xf>
    <xf numFmtId="179" fontId="22" fillId="0" borderId="2" xfId="50" applyNumberFormat="1" applyFont="1" applyFill="1" applyBorder="1" applyAlignment="1">
      <alignment horizontal="right" vertical="center" wrapText="1"/>
    </xf>
    <xf numFmtId="179" fontId="22" fillId="0" borderId="2" xfId="51" applyNumberFormat="1" applyFont="1" applyFill="1" applyBorder="1" applyAlignment="1">
      <alignment horizontal="center" vertical="center" wrapText="1"/>
    </xf>
    <xf numFmtId="0" fontId="22" fillId="0" borderId="2" xfId="51" applyFont="1" applyFill="1" applyBorder="1" applyAlignment="1">
      <alignment horizontal="center" vertical="center" wrapText="1"/>
    </xf>
    <xf numFmtId="179" fontId="12" fillId="0" borderId="2" xfId="1" applyNumberFormat="1" applyFont="1" applyFill="1" applyBorder="1" applyAlignment="1">
      <alignment horizontal="right" vertical="center" wrapText="1"/>
    </xf>
    <xf numFmtId="179" fontId="22" fillId="0" borderId="2" xfId="50" applyNumberFormat="1" applyFont="1" applyFill="1" applyBorder="1" applyAlignment="1">
      <alignment vertical="center" wrapText="1"/>
    </xf>
    <xf numFmtId="179" fontId="22" fillId="0" borderId="2" xfId="51" applyNumberFormat="1" applyFont="1" applyFill="1" applyBorder="1" applyAlignment="1">
      <alignment vertical="center" wrapText="1"/>
    </xf>
    <xf numFmtId="179" fontId="22" fillId="0" borderId="2" xfId="49" applyNumberFormat="1" applyFont="1" applyFill="1" applyBorder="1" applyAlignment="1">
      <alignment vertical="center" wrapText="1"/>
    </xf>
    <xf numFmtId="179" fontId="26" fillId="0" borderId="2" xfId="50" applyNumberFormat="1" applyFont="1" applyFill="1" applyBorder="1">
      <alignment vertical="center"/>
    </xf>
    <xf numFmtId="0" fontId="13" fillId="0" borderId="2" xfId="0" applyFont="1" applyFill="1" applyBorder="1" applyAlignment="1">
      <alignment horizontal="left" vertical="center" wrapText="1"/>
    </xf>
    <xf numFmtId="0" fontId="12" fillId="0" borderId="8" xfId="0" applyNumberFormat="1" applyFont="1" applyFill="1" applyBorder="1" applyAlignment="1" applyProtection="1">
      <alignment vertical="center" wrapText="1"/>
    </xf>
    <xf numFmtId="0" fontId="27" fillId="0" borderId="2" xfId="0" applyFont="1" applyFill="1" applyBorder="1" applyAlignment="1">
      <alignment vertical="center" wrapText="1"/>
    </xf>
    <xf numFmtId="0" fontId="27" fillId="0" borderId="2" xfId="0" applyFont="1" applyFill="1" applyBorder="1">
      <alignment vertical="center"/>
    </xf>
    <xf numFmtId="179" fontId="27" fillId="0" borderId="2" xfId="0" applyNumberFormat="1" applyFont="1" applyFill="1" applyBorder="1" applyAlignment="1">
      <alignment vertical="center" wrapText="1"/>
    </xf>
    <xf numFmtId="0" fontId="22" fillId="0" borderId="2" xfId="0" applyFont="1" applyFill="1" applyBorder="1" applyAlignment="1">
      <alignment vertical="center"/>
    </xf>
    <xf numFmtId="0" fontId="0" fillId="0" borderId="2" xfId="0" applyFont="1" applyFill="1" applyBorder="1" applyAlignment="1">
      <alignment vertical="center" wrapText="1"/>
    </xf>
    <xf numFmtId="0" fontId="0" fillId="0" borderId="2" xfId="0" applyFont="1" applyFill="1" applyBorder="1">
      <alignment vertical="center"/>
    </xf>
    <xf numFmtId="179" fontId="0" fillId="0" borderId="2" xfId="0" applyNumberFormat="1" applyFont="1" applyFill="1" applyBorder="1" applyAlignment="1">
      <alignment vertical="center" wrapText="1"/>
    </xf>
    <xf numFmtId="0" fontId="2" fillId="0" borderId="2" xfId="0" applyFont="1" applyFill="1" applyBorder="1" applyAlignment="1"/>
    <xf numFmtId="179" fontId="2" fillId="0" borderId="2" xfId="1" applyNumberFormat="1" applyFont="1" applyFill="1" applyBorder="1" applyAlignment="1">
      <alignment horizontal="right" vertical="center" wrapText="1"/>
    </xf>
    <xf numFmtId="0" fontId="12" fillId="0" borderId="2" xfId="0" applyFont="1" applyFill="1" applyBorder="1" applyAlignment="1"/>
    <xf numFmtId="0" fontId="2" fillId="0" borderId="2" xfId="0" applyFont="1" applyFill="1" applyBorder="1" applyAlignment="1">
      <alignment horizontal="center" vertical="center"/>
    </xf>
    <xf numFmtId="179" fontId="1" fillId="0" borderId="2" xfId="0" applyNumberFormat="1" applyFont="1" applyFill="1" applyBorder="1" applyAlignment="1">
      <alignment horizontal="center" vertical="center"/>
    </xf>
    <xf numFmtId="179" fontId="2" fillId="0" borderId="2" xfId="1" applyNumberFormat="1" applyFont="1" applyFill="1" applyBorder="1" applyAlignment="1">
      <alignment horizontal="right" vertical="center"/>
    </xf>
    <xf numFmtId="179" fontId="11" fillId="0" borderId="0" xfId="51" applyNumberFormat="1" applyFont="1" applyFill="1" applyAlignment="1">
      <alignment horizontal="center" vertical="center" wrapText="1"/>
    </xf>
    <xf numFmtId="179" fontId="25" fillId="2" borderId="2" xfId="1" applyNumberFormat="1" applyFont="1" applyFill="1" applyBorder="1" applyAlignment="1">
      <alignment horizontal="center" vertical="center" wrapText="1"/>
    </xf>
    <xf numFmtId="179" fontId="25" fillId="0" borderId="2" xfId="51" applyNumberFormat="1" applyFont="1" applyFill="1" applyBorder="1" applyAlignment="1">
      <alignment horizontal="center" vertical="center" wrapText="1"/>
    </xf>
    <xf numFmtId="179" fontId="28" fillId="2" borderId="2" xfId="1" applyNumberFormat="1" applyFont="1" applyFill="1" applyBorder="1" applyAlignment="1">
      <alignment horizontal="right" vertical="center" wrapText="1"/>
    </xf>
    <xf numFmtId="179" fontId="29" fillId="0" borderId="2" xfId="0" applyNumberFormat="1" applyFont="1" applyBorder="1" applyAlignment="1">
      <alignment vertical="center" wrapText="1"/>
    </xf>
    <xf numFmtId="179" fontId="22" fillId="2" borderId="2" xfId="1" applyNumberFormat="1" applyFont="1" applyFill="1" applyBorder="1" applyAlignment="1">
      <alignment vertical="center"/>
    </xf>
    <xf numFmtId="179" fontId="28" fillId="2" borderId="2" xfId="1" applyNumberFormat="1" applyFont="1" applyFill="1" applyBorder="1" applyAlignment="1">
      <alignment horizontal="right" vertical="center"/>
    </xf>
    <xf numFmtId="179" fontId="22" fillId="0" borderId="2" xfId="0" applyNumberFormat="1" applyFont="1" applyFill="1" applyBorder="1" applyAlignment="1">
      <alignment vertical="center"/>
    </xf>
    <xf numFmtId="179" fontId="27" fillId="2" borderId="2" xfId="1" applyNumberFormat="1" applyFont="1" applyFill="1" applyBorder="1" applyAlignment="1">
      <alignment horizontal="right" vertical="center"/>
    </xf>
    <xf numFmtId="179" fontId="27" fillId="0" borderId="2" xfId="0" applyNumberFormat="1" applyFont="1" applyBorder="1" applyAlignment="1">
      <alignment vertical="center" wrapText="1"/>
    </xf>
    <xf numFmtId="179" fontId="30" fillId="2" borderId="2" xfId="1" applyNumberFormat="1" applyFont="1" applyFill="1" applyBorder="1" applyAlignment="1">
      <alignment horizontal="right" vertical="center" wrapText="1"/>
    </xf>
    <xf numFmtId="179" fontId="1" fillId="0" borderId="2" xfId="1" applyNumberFormat="1" applyFont="1" applyFill="1" applyBorder="1" applyAlignment="1">
      <alignment horizontal="right" vertical="center" wrapText="1"/>
    </xf>
    <xf numFmtId="179" fontId="29" fillId="2" borderId="2" xfId="1" applyNumberFormat="1" applyFont="1" applyFill="1" applyBorder="1" applyAlignment="1">
      <alignment horizontal="right" vertical="center"/>
    </xf>
    <xf numFmtId="179" fontId="1" fillId="0" borderId="2" xfId="1" applyNumberFormat="1" applyFont="1" applyFill="1" applyBorder="1" applyAlignment="1">
      <alignment horizontal="right" vertical="center"/>
    </xf>
    <xf numFmtId="0" fontId="31" fillId="0" borderId="0" xfId="0" applyFont="1" applyFill="1" applyAlignment="1"/>
    <xf numFmtId="0" fontId="32" fillId="0" borderId="0" xfId="0" applyFont="1" applyFill="1" applyAlignment="1">
      <alignment vertical="center"/>
    </xf>
    <xf numFmtId="0" fontId="33" fillId="0" borderId="0" xfId="0" applyFont="1" applyFill="1" applyAlignment="1">
      <alignment horizontal="center" vertical="center" wrapText="1"/>
    </xf>
    <xf numFmtId="0" fontId="33" fillId="0" borderId="0" xfId="0" applyFont="1" applyFill="1" applyAlignment="1">
      <alignment horizontal="center" vertical="center"/>
    </xf>
    <xf numFmtId="0" fontId="31" fillId="0" borderId="0" xfId="0" applyFont="1" applyFill="1" applyAlignment="1">
      <alignment vertical="center"/>
    </xf>
    <xf numFmtId="0" fontId="24" fillId="0" borderId="0" xfId="0" applyFont="1" applyFill="1" applyAlignment="1">
      <alignment horizontal="center" vertical="center"/>
    </xf>
    <xf numFmtId="0" fontId="34" fillId="0" borderId="0" xfId="0" applyFont="1" applyFill="1" applyAlignment="1">
      <alignment vertical="center"/>
    </xf>
    <xf numFmtId="0" fontId="34"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35" fillId="3" borderId="2" xfId="0" applyFont="1" applyFill="1" applyBorder="1" applyAlignment="1">
      <alignment horizontal="center" vertical="center"/>
    </xf>
    <xf numFmtId="179" fontId="35" fillId="3" borderId="2" xfId="0" applyNumberFormat="1" applyFont="1" applyFill="1" applyBorder="1" applyAlignment="1">
      <alignment horizontal="center" vertical="center"/>
    </xf>
    <xf numFmtId="0" fontId="34" fillId="0" borderId="10" xfId="0" applyFont="1" applyFill="1" applyBorder="1" applyAlignment="1">
      <alignment horizontal="center" vertical="center" wrapText="1"/>
    </xf>
    <xf numFmtId="180" fontId="36" fillId="3" borderId="10" xfId="1" applyNumberFormat="1" applyFont="1" applyFill="1" applyBorder="1" applyAlignment="1">
      <alignment horizontal="center" vertical="center" wrapText="1"/>
    </xf>
    <xf numFmtId="179" fontId="36" fillId="3" borderId="10" xfId="1" applyNumberFormat="1" applyFont="1" applyFill="1" applyBorder="1" applyAlignment="1">
      <alignment horizontal="center" vertical="center" wrapText="1"/>
    </xf>
    <xf numFmtId="179" fontId="36" fillId="3" borderId="2" xfId="1" applyNumberFormat="1" applyFont="1" applyFill="1" applyBorder="1" applyAlignment="1">
      <alignment horizontal="center" vertical="center" wrapText="1"/>
    </xf>
    <xf numFmtId="0" fontId="34" fillId="0" borderId="15" xfId="0" applyFont="1" applyFill="1" applyBorder="1" applyAlignment="1">
      <alignment horizontal="center" vertical="center" wrapText="1"/>
    </xf>
    <xf numFmtId="180" fontId="36" fillId="3" borderId="15" xfId="1" applyNumberFormat="1" applyFont="1" applyFill="1" applyBorder="1" applyAlignment="1">
      <alignment horizontal="center" vertical="center" wrapText="1"/>
    </xf>
    <xf numFmtId="179" fontId="36" fillId="3" borderId="15" xfId="1" applyNumberFormat="1" applyFont="1" applyFill="1" applyBorder="1" applyAlignment="1">
      <alignment horizontal="center" vertical="center" wrapText="1"/>
    </xf>
    <xf numFmtId="3" fontId="22" fillId="0" borderId="2" xfId="0" applyNumberFormat="1" applyFont="1" applyFill="1" applyBorder="1" applyAlignment="1" applyProtection="1">
      <alignment vertical="center" wrapText="1"/>
    </xf>
    <xf numFmtId="181" fontId="22" fillId="0" borderId="2" xfId="0" applyNumberFormat="1" applyFont="1" applyFill="1" applyBorder="1" applyAlignment="1" applyProtection="1">
      <alignment vertical="center"/>
    </xf>
    <xf numFmtId="181" fontId="22" fillId="0" borderId="2" xfId="0" applyNumberFormat="1" applyFont="1" applyFill="1" applyBorder="1" applyAlignment="1">
      <alignment vertical="center"/>
    </xf>
    <xf numFmtId="181" fontId="22" fillId="0" borderId="2" xfId="0" applyNumberFormat="1" applyFont="1" applyFill="1" applyBorder="1" applyAlignment="1" applyProtection="1">
      <alignment horizontal="left" vertical="center"/>
    </xf>
    <xf numFmtId="181" fontId="22" fillId="0" borderId="2" xfId="54" applyNumberFormat="1" applyFont="1" applyFill="1" applyBorder="1" applyAlignment="1">
      <alignment vertical="center" wrapText="1"/>
    </xf>
    <xf numFmtId="0" fontId="22" fillId="0" borderId="2" xfId="0" applyFont="1" applyFill="1" applyBorder="1" applyAlignment="1">
      <alignment vertical="center" wrapText="1"/>
    </xf>
    <xf numFmtId="0" fontId="26" fillId="0" borderId="2" xfId="0" applyFont="1" applyFill="1" applyBorder="1" applyAlignment="1">
      <alignment horizontal="distributed" vertical="center" wrapText="1"/>
    </xf>
    <xf numFmtId="181" fontId="22" fillId="0" borderId="2" xfId="0" applyNumberFormat="1" applyFont="1" applyFill="1" applyBorder="1" applyAlignment="1">
      <alignment horizontal="distributed" vertical="center"/>
    </xf>
    <xf numFmtId="181" fontId="26" fillId="0" borderId="2" xfId="0" applyNumberFormat="1" applyFont="1" applyFill="1" applyBorder="1" applyAlignment="1">
      <alignment horizontal="distributed" vertical="center"/>
    </xf>
    <xf numFmtId="0" fontId="26" fillId="0" borderId="2" xfId="0" applyFont="1" applyFill="1" applyBorder="1" applyAlignment="1">
      <alignment vertical="center" wrapText="1"/>
    </xf>
    <xf numFmtId="181" fontId="26" fillId="0" borderId="2" xfId="0" applyNumberFormat="1" applyFont="1" applyFill="1" applyBorder="1" applyAlignment="1">
      <alignment vertical="center"/>
    </xf>
    <xf numFmtId="1" fontId="22" fillId="0" borderId="2" xfId="0" applyNumberFormat="1" applyFont="1" applyFill="1" applyBorder="1" applyAlignment="1" applyProtection="1">
      <alignment vertical="center" wrapText="1"/>
      <protection locked="0"/>
    </xf>
    <xf numFmtId="181" fontId="22" fillId="0" borderId="2" xfId="0" applyNumberFormat="1" applyFont="1" applyFill="1" applyBorder="1" applyAlignment="1" applyProtection="1">
      <alignment vertical="center"/>
      <protection locked="0"/>
    </xf>
    <xf numFmtId="0" fontId="34" fillId="0" borderId="0" xfId="0" applyFont="1" applyFill="1" applyAlignment="1">
      <alignment horizontal="right" vertical="center"/>
    </xf>
    <xf numFmtId="181" fontId="35" fillId="3" borderId="2" xfId="0" applyNumberFormat="1" applyFont="1" applyFill="1" applyBorder="1" applyAlignment="1">
      <alignment horizontal="center" vertical="center"/>
    </xf>
    <xf numFmtId="0" fontId="36" fillId="3" borderId="2" xfId="1" applyNumberFormat="1" applyFont="1" applyFill="1" applyBorder="1" applyAlignment="1">
      <alignment horizontal="center" vertical="center" wrapText="1"/>
    </xf>
    <xf numFmtId="181" fontId="36" fillId="3" borderId="2" xfId="1" applyNumberFormat="1" applyFont="1" applyFill="1" applyBorder="1" applyAlignment="1">
      <alignment horizontal="center" vertical="center" wrapText="1"/>
    </xf>
    <xf numFmtId="181" fontId="27" fillId="0" borderId="2" xfId="0" applyNumberFormat="1" applyFont="1" applyBorder="1">
      <alignment vertical="center"/>
    </xf>
    <xf numFmtId="0" fontId="29" fillId="0" borderId="2" xfId="0" applyFont="1" applyBorder="1">
      <alignment vertical="center"/>
    </xf>
    <xf numFmtId="181" fontId="29" fillId="0" borderId="2" xfId="0" applyNumberFormat="1" applyFont="1" applyBorder="1">
      <alignment vertical="center"/>
    </xf>
    <xf numFmtId="0" fontId="29" fillId="3" borderId="2" xfId="0" applyFont="1" applyFill="1" applyBorder="1" applyAlignment="1">
      <alignment vertical="center" wrapText="1"/>
    </xf>
    <xf numFmtId="0" fontId="0" fillId="0" borderId="0" xfId="0" applyAlignment="1">
      <alignment horizontal="left" vertical="center"/>
    </xf>
    <xf numFmtId="0" fontId="18" fillId="0" borderId="0"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horizontal="center" vertical="center" wrapText="1"/>
    </xf>
    <xf numFmtId="179" fontId="18" fillId="0" borderId="0" xfId="0" applyNumberFormat="1" applyFont="1" applyFill="1" applyBorder="1" applyAlignment="1" applyProtection="1">
      <alignment horizontal="center" vertical="center" wrapText="1"/>
    </xf>
    <xf numFmtId="0" fontId="19" fillId="3" borderId="1" xfId="0" applyFont="1" applyFill="1" applyBorder="1" applyAlignment="1">
      <alignment horizontal="center" vertical="center" wrapText="1"/>
    </xf>
    <xf numFmtId="182"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179" fontId="11" fillId="0" borderId="2" xfId="0" applyNumberFormat="1" applyFont="1" applyFill="1" applyBorder="1" applyAlignment="1" applyProtection="1">
      <alignment horizontal="center" vertical="center" wrapText="1"/>
    </xf>
    <xf numFmtId="182" fontId="12" fillId="0" borderId="2"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horizontal="left" vertical="center" wrapText="1"/>
    </xf>
    <xf numFmtId="179" fontId="12" fillId="0" borderId="2"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xf>
    <xf numFmtId="179" fontId="12" fillId="0" borderId="2" xfId="0" applyNumberFormat="1" applyFont="1" applyFill="1" applyBorder="1" applyAlignment="1" applyProtection="1">
      <alignment horizontal="left" wrapText="1"/>
    </xf>
    <xf numFmtId="0" fontId="12" fillId="0" borderId="2" xfId="0" applyNumberFormat="1" applyFont="1" applyFill="1" applyBorder="1" applyAlignment="1" applyProtection="1">
      <alignment horizontal="left" wrapText="1"/>
    </xf>
    <xf numFmtId="14" fontId="12" fillId="0" borderId="2" xfId="0" applyNumberFormat="1" applyFont="1" applyFill="1" applyBorder="1" applyAlignment="1" applyProtection="1">
      <alignment horizontal="left" vertical="center" wrapText="1"/>
    </xf>
    <xf numFmtId="179" fontId="37" fillId="0" borderId="2"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wrapText="1"/>
    </xf>
    <xf numFmtId="14" fontId="2"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wrapText="1"/>
    </xf>
    <xf numFmtId="0" fontId="38" fillId="0" borderId="2" xfId="0" applyNumberFormat="1" applyFont="1" applyFill="1" applyBorder="1" applyAlignment="1" applyProtection="1">
      <alignment horizontal="left" vertical="center" wrapText="1"/>
    </xf>
    <xf numFmtId="179" fontId="2" fillId="0" borderId="2" xfId="0" applyNumberFormat="1" applyFont="1" applyFill="1" applyBorder="1" applyAlignment="1" applyProtection="1">
      <alignment horizontal="left" vertical="center" wrapText="1"/>
    </xf>
    <xf numFmtId="14" fontId="2"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18" fillId="3" borderId="0" xfId="0" applyFont="1" applyFill="1" applyBorder="1" applyAlignment="1">
      <alignment horizontal="left" vertical="center" wrapText="1"/>
    </xf>
    <xf numFmtId="0" fontId="20" fillId="3" borderId="2" xfId="0" applyFont="1" applyFill="1" applyBorder="1" applyAlignment="1">
      <alignment horizontal="left" vertical="center" wrapText="1"/>
    </xf>
    <xf numFmtId="179" fontId="12" fillId="0" borderId="2" xfId="0" applyNumberFormat="1" applyFont="1" applyFill="1" applyBorder="1" applyAlignment="1">
      <alignment horizontal="left" vertical="center" wrapText="1"/>
    </xf>
    <xf numFmtId="0" fontId="12" fillId="0" borderId="2" xfId="0" applyFont="1" applyFill="1" applyBorder="1" applyAlignment="1">
      <alignment vertical="center" wrapText="1"/>
    </xf>
    <xf numFmtId="179" fontId="12" fillId="0" borderId="2" xfId="51" applyNumberFormat="1" applyFont="1" applyFill="1" applyBorder="1" applyAlignment="1">
      <alignment horizontal="left" vertical="center" wrapText="1"/>
    </xf>
    <xf numFmtId="0" fontId="39" fillId="3" borderId="2" xfId="0" applyFont="1" applyFill="1" applyBorder="1" applyAlignment="1">
      <alignment horizontal="center" vertical="center" wrapText="1"/>
    </xf>
    <xf numFmtId="179" fontId="21" fillId="3" borderId="2" xfId="0" applyNumberFormat="1" applyFont="1" applyFill="1" applyBorder="1" applyAlignment="1">
      <alignment horizontal="left" vertical="center" wrapText="1"/>
    </xf>
    <xf numFmtId="0" fontId="15" fillId="0" borderId="8" xfId="49" applyFont="1" applyFill="1" applyBorder="1" applyAlignment="1">
      <alignment horizontal="left" vertical="center" wrapText="1"/>
    </xf>
    <xf numFmtId="0" fontId="15" fillId="0" borderId="8" xfId="51" applyFont="1" applyFill="1" applyBorder="1" applyAlignment="1">
      <alignment horizontal="left" vertical="center" wrapText="1"/>
    </xf>
    <xf numFmtId="179" fontId="15" fillId="0" borderId="2" xfId="51" applyNumberFormat="1" applyFont="1" applyFill="1" applyBorder="1" applyAlignment="1">
      <alignment horizontal="left" vertical="center" wrapText="1"/>
    </xf>
    <xf numFmtId="0" fontId="40" fillId="0" borderId="0" xfId="0" applyFont="1" applyAlignment="1">
      <alignment horizontal="left" vertical="center" wrapText="1"/>
    </xf>
    <xf numFmtId="0" fontId="41" fillId="0" borderId="0" xfId="0" applyFont="1" applyFill="1" applyAlignment="1">
      <alignment horizontal="center" vertical="center"/>
    </xf>
    <xf numFmtId="0" fontId="0" fillId="0" borderId="0" xfId="0" applyFont="1" applyFill="1" applyAlignment="1">
      <alignment horizontal="center" vertical="center"/>
    </xf>
    <xf numFmtId="0" fontId="42" fillId="0" borderId="2" xfId="0" applyFont="1" applyBorder="1">
      <alignment vertical="center"/>
    </xf>
    <xf numFmtId="0" fontId="11"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24" fillId="0" borderId="2" xfId="0" applyFont="1" applyFill="1" applyBorder="1">
      <alignment vertical="center"/>
    </xf>
    <xf numFmtId="0" fontId="24" fillId="0" borderId="2" xfId="0" applyFont="1" applyFill="1" applyBorder="1" applyAlignment="1">
      <alignment horizontal="center" vertical="center"/>
    </xf>
    <xf numFmtId="0" fontId="25" fillId="0" borderId="2" xfId="0" applyFont="1" applyFill="1" applyBorder="1" applyAlignment="1">
      <alignment vertical="center"/>
    </xf>
    <xf numFmtId="181" fontId="25" fillId="0" borderId="2" xfId="0" applyNumberFormat="1" applyFont="1" applyFill="1" applyBorder="1" applyAlignment="1">
      <alignment horizontal="center" vertical="center"/>
    </xf>
    <xf numFmtId="181" fontId="24" fillId="0" borderId="2" xfId="0" applyNumberFormat="1" applyFont="1" applyFill="1" applyBorder="1" applyAlignment="1">
      <alignment horizontal="center" vertical="center"/>
    </xf>
    <xf numFmtId="0" fontId="27" fillId="0" borderId="2" xfId="0" applyFont="1" applyBorder="1">
      <alignment vertical="center"/>
    </xf>
    <xf numFmtId="0" fontId="43" fillId="0" borderId="2" xfId="0" applyFont="1" applyFill="1" applyBorder="1" applyAlignment="1">
      <alignment vertical="center"/>
    </xf>
    <xf numFmtId="181" fontId="43" fillId="0" borderId="2" xfId="0" applyNumberFormat="1" applyFont="1" applyFill="1" applyBorder="1" applyAlignment="1">
      <alignment horizontal="center" vertical="center"/>
    </xf>
    <xf numFmtId="0" fontId="0" fillId="3" borderId="0" xfId="0" applyFill="1" applyAlignment="1">
      <alignment horizontal="center" vertical="center"/>
    </xf>
    <xf numFmtId="181" fontId="27" fillId="0" borderId="2" xfId="0" applyNumberFormat="1" applyFont="1" applyFill="1" applyBorder="1" applyAlignment="1">
      <alignment horizontal="center" vertical="center"/>
    </xf>
    <xf numFmtId="181" fontId="27" fillId="3" borderId="2" xfId="0" applyNumberFormat="1" applyFont="1" applyFill="1" applyBorder="1" applyAlignment="1">
      <alignment horizontal="center" vertical="center"/>
    </xf>
    <xf numFmtId="181" fontId="43" fillId="3" borderId="2" xfId="0" applyNumberFormat="1" applyFont="1" applyFill="1" applyBorder="1" applyAlignment="1">
      <alignment horizontal="center" vertical="center"/>
    </xf>
    <xf numFmtId="0" fontId="44" fillId="0" borderId="2" xfId="0" applyFont="1" applyBorder="1">
      <alignment vertical="center"/>
    </xf>
    <xf numFmtId="181" fontId="45" fillId="0" borderId="2" xfId="0" applyNumberFormat="1" applyFont="1" applyFill="1" applyBorder="1" applyAlignment="1">
      <alignment horizontal="center" vertical="center"/>
    </xf>
    <xf numFmtId="0" fontId="46" fillId="0" borderId="2" xfId="0" applyFont="1" applyFill="1" applyBorder="1" applyAlignment="1">
      <alignment vertical="center"/>
    </xf>
    <xf numFmtId="181" fontId="46" fillId="0" borderId="2" xfId="0" applyNumberFormat="1" applyFont="1" applyFill="1" applyBorder="1" applyAlignment="1">
      <alignment horizontal="center" vertical="center"/>
    </xf>
    <xf numFmtId="181" fontId="0" fillId="0" borderId="2" xfId="0" applyNumberFormat="1" applyFill="1" applyBorder="1">
      <alignment vertical="center"/>
    </xf>
    <xf numFmtId="181" fontId="0" fillId="0" borderId="2" xfId="0" applyNumberFormat="1" applyFill="1" applyBorder="1" applyAlignment="1">
      <alignment horizontal="center" vertical="center"/>
    </xf>
    <xf numFmtId="0" fontId="25" fillId="0" borderId="2" xfId="0" applyFont="1" applyFill="1" applyBorder="1" applyAlignment="1">
      <alignment horizontal="distributed" vertical="center"/>
    </xf>
    <xf numFmtId="0" fontId="31" fillId="3" borderId="0" xfId="0" applyFont="1" applyFill="1" applyAlignment="1">
      <alignment vertical="center"/>
    </xf>
    <xf numFmtId="0" fontId="0" fillId="3" borderId="0" xfId="0" applyFont="1" applyFill="1" applyAlignment="1">
      <alignment vertical="center"/>
    </xf>
    <xf numFmtId="0" fontId="47" fillId="3" borderId="0" xfId="0" applyFont="1" applyFill="1" applyAlignment="1">
      <alignment vertical="center"/>
    </xf>
    <xf numFmtId="0" fontId="48" fillId="3" borderId="0" xfId="0" applyFont="1" applyFill="1" applyAlignment="1">
      <alignment vertical="center"/>
    </xf>
    <xf numFmtId="179" fontId="0" fillId="3" borderId="0" xfId="0" applyNumberFormat="1" applyFont="1" applyFill="1" applyAlignment="1">
      <alignment vertical="center"/>
    </xf>
    <xf numFmtId="179" fontId="32" fillId="3" borderId="0" xfId="0" applyNumberFormat="1" applyFont="1" applyFill="1" applyAlignment="1">
      <alignment vertical="center"/>
    </xf>
    <xf numFmtId="0" fontId="0" fillId="3" borderId="0" xfId="0" applyFont="1" applyFill="1" applyAlignment="1">
      <alignment vertical="center" wrapText="1"/>
    </xf>
    <xf numFmtId="180" fontId="14" fillId="3" borderId="0" xfId="1" applyNumberFormat="1" applyFont="1" applyFill="1" applyAlignment="1">
      <alignment horizontal="center" vertical="center" wrapText="1"/>
    </xf>
    <xf numFmtId="179" fontId="14" fillId="3" borderId="0" xfId="1" applyNumberFormat="1" applyFont="1" applyFill="1" applyAlignment="1">
      <alignment horizontal="center" vertical="center" wrapText="1"/>
    </xf>
    <xf numFmtId="0" fontId="24" fillId="0" borderId="0" xfId="0" applyFont="1" applyFill="1" applyBorder="1" applyAlignment="1">
      <alignment horizontal="left" vertical="center"/>
    </xf>
    <xf numFmtId="179" fontId="24" fillId="0" borderId="0" xfId="0" applyNumberFormat="1" applyFont="1" applyFill="1" applyBorder="1" applyAlignment="1">
      <alignment horizontal="left" vertical="center"/>
    </xf>
    <xf numFmtId="178" fontId="11" fillId="0" borderId="0" xfId="51" applyNumberFormat="1" applyFont="1" applyFill="1" applyAlignment="1">
      <alignment horizontal="center" vertical="center" wrapText="1"/>
    </xf>
    <xf numFmtId="0" fontId="35" fillId="3" borderId="8" xfId="0" applyFont="1" applyFill="1" applyBorder="1" applyAlignment="1">
      <alignment horizontal="center" vertical="center"/>
    </xf>
    <xf numFmtId="0" fontId="35" fillId="3" borderId="9" xfId="0" applyFont="1" applyFill="1" applyBorder="1" applyAlignment="1">
      <alignment horizontal="center" vertical="center"/>
    </xf>
    <xf numFmtId="179" fontId="35" fillId="3" borderId="9" xfId="0" applyNumberFormat="1" applyFont="1" applyFill="1" applyBorder="1" applyAlignment="1">
      <alignment horizontal="center" vertical="center"/>
    </xf>
    <xf numFmtId="179" fontId="35" fillId="3" borderId="12" xfId="0" applyNumberFormat="1" applyFont="1" applyFill="1" applyBorder="1" applyAlignment="1">
      <alignment horizontal="center" vertical="center"/>
    </xf>
    <xf numFmtId="0" fontId="35" fillId="3" borderId="10" xfId="0" applyFont="1" applyFill="1" applyBorder="1" applyAlignment="1">
      <alignment horizontal="left" vertical="center"/>
    </xf>
    <xf numFmtId="0" fontId="35" fillId="3" borderId="15" xfId="0" applyFont="1" applyFill="1" applyBorder="1" applyAlignment="1">
      <alignment horizontal="left" vertical="center"/>
    </xf>
    <xf numFmtId="0" fontId="35" fillId="3" borderId="2" xfId="0" applyFont="1" applyFill="1" applyBorder="1" applyAlignment="1">
      <alignment horizontal="left" vertical="center"/>
    </xf>
    <xf numFmtId="181" fontId="49" fillId="3" borderId="2" xfId="1" applyNumberFormat="1" applyFont="1" applyFill="1" applyBorder="1" applyAlignment="1">
      <alignment horizontal="right" vertical="center" wrapText="1"/>
    </xf>
    <xf numFmtId="179" fontId="49" fillId="3" borderId="2" xfId="1" applyNumberFormat="1" applyFont="1" applyFill="1" applyBorder="1" applyAlignment="1">
      <alignment horizontal="right" vertical="center" wrapText="1"/>
    </xf>
    <xf numFmtId="179" fontId="49" fillId="0" borderId="2" xfId="1" applyNumberFormat="1" applyFont="1" applyFill="1" applyBorder="1" applyAlignment="1">
      <alignment vertical="center" wrapText="1"/>
    </xf>
    <xf numFmtId="0" fontId="50" fillId="3" borderId="8" xfId="0" applyFont="1" applyFill="1" applyBorder="1" applyAlignment="1">
      <alignment vertical="center"/>
    </xf>
    <xf numFmtId="181" fontId="47" fillId="3" borderId="2" xfId="0" applyNumberFormat="1" applyFont="1" applyFill="1" applyBorder="1" applyAlignment="1">
      <alignment horizontal="right" vertical="center"/>
    </xf>
    <xf numFmtId="179" fontId="47" fillId="3" borderId="2" xfId="0" applyNumberFormat="1" applyFont="1" applyFill="1" applyBorder="1" applyAlignment="1">
      <alignment vertical="center"/>
    </xf>
    <xf numFmtId="179" fontId="49" fillId="3" borderId="2" xfId="0" applyNumberFormat="1" applyFont="1" applyFill="1" applyBorder="1" applyAlignment="1">
      <alignment vertical="center"/>
    </xf>
    <xf numFmtId="1" fontId="35" fillId="3" borderId="2" xfId="0" applyNumberFormat="1" applyFont="1" applyFill="1" applyBorder="1" applyAlignment="1" applyProtection="1">
      <alignment horizontal="left" vertical="center"/>
      <protection locked="0"/>
    </xf>
    <xf numFmtId="181" fontId="50" fillId="3" borderId="2" xfId="0" applyNumberFormat="1" applyFont="1" applyFill="1" applyBorder="1" applyAlignment="1" applyProtection="1">
      <alignment vertical="center"/>
      <protection locked="0"/>
    </xf>
    <xf numFmtId="179" fontId="50" fillId="3" borderId="2" xfId="0" applyNumberFormat="1" applyFont="1" applyFill="1" applyBorder="1" applyAlignment="1" applyProtection="1">
      <alignment vertical="center"/>
      <protection locked="0"/>
    </xf>
    <xf numFmtId="179" fontId="50" fillId="0" borderId="2" xfId="0" applyNumberFormat="1" applyFont="1" applyFill="1" applyBorder="1" applyAlignment="1" applyProtection="1">
      <alignment vertical="center"/>
      <protection locked="0"/>
    </xf>
    <xf numFmtId="179" fontId="50" fillId="0" borderId="2" xfId="0" applyNumberFormat="1" applyFont="1" applyFill="1" applyBorder="1" applyAlignment="1" applyProtection="1">
      <alignment horizontal="right" vertical="center"/>
    </xf>
    <xf numFmtId="181" fontId="50" fillId="3" borderId="2" xfId="0" applyNumberFormat="1" applyFont="1" applyFill="1" applyBorder="1" applyAlignment="1" applyProtection="1">
      <alignment horizontal="right" vertical="center"/>
      <protection locked="0"/>
    </xf>
    <xf numFmtId="179" fontId="50" fillId="0" borderId="2" xfId="0" applyNumberFormat="1" applyFont="1" applyFill="1" applyBorder="1" applyAlignment="1" applyProtection="1">
      <alignment horizontal="right" vertical="center"/>
      <protection locked="0"/>
    </xf>
    <xf numFmtId="1" fontId="50" fillId="3" borderId="2" xfId="0" applyNumberFormat="1" applyFont="1" applyFill="1" applyBorder="1" applyAlignment="1" applyProtection="1">
      <alignment horizontal="left" vertical="center"/>
      <protection locked="0"/>
    </xf>
    <xf numFmtId="0" fontId="51" fillId="3" borderId="8" xfId="0" applyFont="1" applyFill="1" applyBorder="1" applyAlignment="1">
      <alignment vertical="center"/>
    </xf>
    <xf numFmtId="0" fontId="23" fillId="3" borderId="8" xfId="0" applyFont="1" applyFill="1" applyBorder="1" applyAlignment="1">
      <alignment vertical="center"/>
    </xf>
    <xf numFmtId="179" fontId="50" fillId="3" borderId="2" xfId="0" applyNumberFormat="1" applyFont="1" applyFill="1" applyBorder="1" applyAlignment="1" applyProtection="1">
      <alignment horizontal="right" vertical="center"/>
      <protection locked="0"/>
    </xf>
    <xf numFmtId="181" fontId="50" fillId="3" borderId="2" xfId="0" applyNumberFormat="1" applyFont="1" applyFill="1" applyBorder="1" applyAlignment="1">
      <alignment vertical="center"/>
    </xf>
    <xf numFmtId="179" fontId="50" fillId="0" borderId="2" xfId="0" applyNumberFormat="1" applyFont="1" applyFill="1" applyBorder="1" applyAlignment="1">
      <alignment vertical="center"/>
    </xf>
    <xf numFmtId="0" fontId="50" fillId="3" borderId="2" xfId="0" applyNumberFormat="1" applyFont="1" applyFill="1" applyBorder="1" applyAlignment="1" applyProtection="1">
      <alignment horizontal="left" vertical="center"/>
      <protection locked="0"/>
    </xf>
    <xf numFmtId="3" fontId="52" fillId="3" borderId="2" xfId="0" applyNumberFormat="1" applyFont="1" applyFill="1" applyBorder="1" applyAlignment="1" applyProtection="1">
      <alignment horizontal="left" vertical="center"/>
    </xf>
    <xf numFmtId="0" fontId="52" fillId="3" borderId="8" xfId="0" applyFont="1" applyFill="1" applyBorder="1" applyAlignment="1">
      <alignment vertical="center"/>
    </xf>
    <xf numFmtId="3" fontId="50" fillId="3" borderId="2" xfId="0" applyNumberFormat="1" applyFont="1" applyFill="1" applyBorder="1" applyAlignment="1" applyProtection="1">
      <alignment horizontal="left" vertical="center"/>
    </xf>
    <xf numFmtId="3" fontId="23" fillId="3" borderId="2" xfId="0" applyNumberFormat="1" applyFont="1" applyFill="1" applyBorder="1" applyAlignment="1" applyProtection="1">
      <alignment horizontal="left" vertical="center"/>
    </xf>
    <xf numFmtId="3" fontId="53" fillId="3" borderId="2" xfId="0" applyNumberFormat="1" applyFont="1" applyFill="1" applyBorder="1" applyAlignment="1" applyProtection="1">
      <alignment horizontal="left" vertical="center"/>
    </xf>
    <xf numFmtId="180" fontId="54" fillId="3" borderId="2" xfId="1" applyNumberFormat="1" applyFont="1" applyFill="1" applyBorder="1" applyAlignment="1">
      <alignment vertical="center" wrapText="1"/>
    </xf>
    <xf numFmtId="181" fontId="50" fillId="3" borderId="2" xfId="0" applyNumberFormat="1" applyFont="1" applyFill="1" applyBorder="1" applyAlignment="1" applyProtection="1">
      <alignment horizontal="right" vertical="center"/>
    </xf>
    <xf numFmtId="180" fontId="36" fillId="3" borderId="8" xfId="1" applyNumberFormat="1" applyFont="1" applyFill="1" applyBorder="1" applyAlignment="1">
      <alignment vertical="center" wrapText="1"/>
    </xf>
    <xf numFmtId="180" fontId="36" fillId="3" borderId="2" xfId="1" applyNumberFormat="1" applyFont="1" applyFill="1" applyBorder="1" applyAlignment="1" applyProtection="1">
      <alignment horizontal="left" vertical="center" wrapText="1"/>
      <protection locked="0"/>
    </xf>
    <xf numFmtId="180" fontId="49" fillId="3" borderId="2" xfId="1" applyNumberFormat="1" applyFont="1" applyFill="1" applyBorder="1" applyAlignment="1">
      <alignment vertical="center" wrapText="1"/>
    </xf>
    <xf numFmtId="0" fontId="52" fillId="0" borderId="2" xfId="0" applyFont="1" applyFill="1" applyBorder="1" applyAlignment="1" applyProtection="1">
      <alignment horizontal="left" vertical="center" wrapText="1"/>
      <protection locked="0"/>
    </xf>
    <xf numFmtId="0" fontId="50" fillId="0" borderId="2" xfId="0" applyFont="1" applyFill="1" applyBorder="1" applyAlignment="1" applyProtection="1">
      <alignment horizontal="left" vertical="center" wrapText="1"/>
      <protection locked="0"/>
    </xf>
    <xf numFmtId="180" fontId="36" fillId="3" borderId="2" xfId="1" applyNumberFormat="1" applyFont="1" applyFill="1" applyBorder="1" applyAlignment="1">
      <alignment vertical="center" wrapText="1"/>
    </xf>
    <xf numFmtId="179" fontId="50" fillId="3" borderId="2" xfId="0" applyNumberFormat="1" applyFont="1" applyFill="1" applyBorder="1" applyAlignment="1">
      <alignment vertical="center"/>
    </xf>
    <xf numFmtId="0" fontId="55" fillId="0" borderId="2" xfId="0" applyFont="1" applyFill="1" applyBorder="1" applyAlignment="1" applyProtection="1">
      <alignment horizontal="left" vertical="center" wrapText="1"/>
      <protection locked="0"/>
    </xf>
    <xf numFmtId="0" fontId="51" fillId="0" borderId="2" xfId="0" applyFont="1" applyFill="1" applyBorder="1" applyAlignment="1" applyProtection="1">
      <alignment horizontal="left" vertical="center" wrapText="1"/>
      <protection locked="0"/>
    </xf>
    <xf numFmtId="0" fontId="23" fillId="0" borderId="2" xfId="0" applyFont="1" applyFill="1" applyBorder="1" applyAlignment="1" applyProtection="1">
      <alignment horizontal="left" vertical="center" wrapText="1"/>
      <protection locked="0"/>
    </xf>
    <xf numFmtId="0" fontId="47" fillId="0" borderId="10"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2" xfId="0" applyFont="1" applyFill="1" applyBorder="1" applyAlignment="1">
      <alignment vertical="center" wrapText="1"/>
    </xf>
    <xf numFmtId="3" fontId="50" fillId="0" borderId="2" xfId="0" applyNumberFormat="1" applyFont="1" applyFill="1" applyBorder="1" applyAlignment="1" applyProtection="1">
      <alignment horizontal="left" vertical="center"/>
      <protection locked="0"/>
    </xf>
    <xf numFmtId="3" fontId="35" fillId="3" borderId="2" xfId="0" applyNumberFormat="1" applyFont="1" applyFill="1" applyBorder="1" applyAlignment="1" applyProtection="1">
      <alignment horizontal="left" vertical="center"/>
    </xf>
    <xf numFmtId="179" fontId="50" fillId="3" borderId="2" xfId="0" applyNumberFormat="1" applyFont="1" applyFill="1" applyBorder="1" applyAlignment="1" applyProtection="1">
      <alignment horizontal="right" vertical="center"/>
    </xf>
    <xf numFmtId="3" fontId="50" fillId="3" borderId="2" xfId="0" applyNumberFormat="1" applyFont="1" applyFill="1" applyBorder="1" applyAlignment="1" applyProtection="1">
      <alignment vertical="center"/>
    </xf>
    <xf numFmtId="179" fontId="50" fillId="3" borderId="2" xfId="0" applyNumberFormat="1" applyFont="1" applyFill="1" applyBorder="1" applyAlignment="1">
      <alignment vertical="center" wrapText="1"/>
    </xf>
    <xf numFmtId="0" fontId="47" fillId="3" borderId="2" xfId="0" applyFont="1" applyFill="1" applyBorder="1" applyAlignment="1">
      <alignment vertical="center" wrapText="1"/>
    </xf>
    <xf numFmtId="14" fontId="47" fillId="3" borderId="2" xfId="0" applyNumberFormat="1" applyFont="1" applyFill="1" applyBorder="1" applyAlignment="1">
      <alignment vertical="center" wrapText="1"/>
    </xf>
    <xf numFmtId="179" fontId="50" fillId="3" borderId="2" xfId="0" applyNumberFormat="1" applyFont="1" applyFill="1" applyBorder="1" applyAlignment="1" applyProtection="1">
      <alignment horizontal="right" vertical="center" wrapText="1"/>
    </xf>
    <xf numFmtId="0" fontId="50" fillId="3" borderId="8" xfId="0" applyFont="1" applyFill="1" applyBorder="1" applyAlignment="1">
      <alignment horizontal="left" vertical="center"/>
    </xf>
    <xf numFmtId="0" fontId="50" fillId="3" borderId="2" xfId="0" applyFont="1" applyFill="1" applyBorder="1" applyAlignment="1">
      <alignment horizontal="left" vertical="center"/>
    </xf>
    <xf numFmtId="181" fontId="50" fillId="3" borderId="2" xfId="0" applyNumberFormat="1" applyFont="1" applyFill="1" applyBorder="1" applyAlignment="1">
      <alignment horizontal="right" vertical="center"/>
    </xf>
    <xf numFmtId="179" fontId="50" fillId="3" borderId="2" xfId="0" applyNumberFormat="1" applyFont="1" applyFill="1" applyBorder="1" applyAlignment="1">
      <alignment horizontal="right" vertical="center" wrapText="1"/>
    </xf>
    <xf numFmtId="179" fontId="50" fillId="3" borderId="2" xfId="0" applyNumberFormat="1" applyFont="1" applyFill="1" applyBorder="1" applyAlignment="1" applyProtection="1">
      <alignment horizontal="right" vertical="center" wrapText="1"/>
      <protection locked="0"/>
    </xf>
    <xf numFmtId="1" fontId="50" fillId="3" borderId="2" xfId="0" applyNumberFormat="1" applyFont="1" applyFill="1" applyBorder="1" applyAlignment="1" applyProtection="1">
      <alignment vertical="center"/>
      <protection locked="0"/>
    </xf>
    <xf numFmtId="1" fontId="48" fillId="3" borderId="2" xfId="0" applyNumberFormat="1" applyFont="1" applyFill="1" applyBorder="1" applyAlignment="1" applyProtection="1">
      <alignment vertical="center"/>
      <protection locked="0"/>
    </xf>
    <xf numFmtId="1" fontId="56" fillId="3" borderId="2" xfId="0" applyNumberFormat="1" applyFont="1" applyFill="1" applyBorder="1" applyAlignment="1" applyProtection="1">
      <alignment horizontal="left" vertical="center"/>
      <protection locked="0"/>
    </xf>
    <xf numFmtId="179" fontId="48" fillId="3" borderId="2" xfId="0" applyNumberFormat="1" applyFont="1" applyFill="1" applyBorder="1" applyAlignment="1">
      <alignment vertical="center"/>
    </xf>
    <xf numFmtId="179" fontId="50" fillId="3" borderId="2" xfId="0" applyNumberFormat="1" applyFont="1" applyFill="1" applyBorder="1" applyAlignment="1">
      <alignment horizontal="right" vertical="center"/>
    </xf>
    <xf numFmtId="0" fontId="47" fillId="3" borderId="0" xfId="0" applyFont="1" applyFill="1" applyAlignment="1">
      <alignment horizontal="left" vertical="center"/>
    </xf>
    <xf numFmtId="179" fontId="47" fillId="3" borderId="0" xfId="0" applyNumberFormat="1" applyFont="1" applyFill="1" applyAlignment="1">
      <alignment vertical="center"/>
    </xf>
    <xf numFmtId="179" fontId="49" fillId="3" borderId="0" xfId="0" applyNumberFormat="1" applyFont="1" applyFill="1" applyAlignment="1">
      <alignment vertical="center"/>
    </xf>
    <xf numFmtId="0" fontId="48" fillId="3" borderId="2" xfId="0" applyFont="1" applyFill="1" applyBorder="1" applyAlignment="1">
      <alignment vertical="center" wrapText="1"/>
    </xf>
    <xf numFmtId="0" fontId="47" fillId="3" borderId="0" xfId="0" applyFont="1" applyFill="1" applyAlignment="1">
      <alignmen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基金" xfId="49"/>
    <cellStyle name="千位分隔_支出项目录入表" xfId="50"/>
    <cellStyle name="常规_Sheet2" xfId="51"/>
    <cellStyle name="常规 55" xfId="52"/>
    <cellStyle name="常规 10" xfId="53"/>
    <cellStyle name="常规 2" xfId="54"/>
    <cellStyle name="Normal"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5"/>
  <sheetViews>
    <sheetView zoomScale="120" zoomScaleNormal="120" workbookViewId="0">
      <pane xSplit="1" ySplit="6" topLeftCell="B7" activePane="bottomRight" state="frozen"/>
      <selection/>
      <selection pane="topRight"/>
      <selection pane="bottomLeft"/>
      <selection pane="bottomRight" activeCell="R9" sqref="R9"/>
    </sheetView>
  </sheetViews>
  <sheetFormatPr defaultColWidth="9" defaultRowHeight="13.5"/>
  <cols>
    <col min="1" max="1" width="23" style="287" customWidth="1"/>
    <col min="2" max="2" width="7.375" style="287" customWidth="1"/>
    <col min="3" max="3" width="9.5" style="290" customWidth="1"/>
    <col min="4" max="4" width="8.75" style="290" customWidth="1"/>
    <col min="5" max="5" width="17.4916666666667" style="287" customWidth="1"/>
    <col min="6" max="6" width="7.525" style="287" customWidth="1"/>
    <col min="7" max="7" width="9.775" style="290" customWidth="1"/>
    <col min="8" max="8" width="8.625" style="291" customWidth="1"/>
    <col min="9" max="9" width="8.25" style="290" customWidth="1"/>
    <col min="10" max="10" width="8.75" style="290" customWidth="1"/>
    <col min="11" max="11" width="9" style="290" customWidth="1"/>
    <col min="12" max="12" width="8.65" style="290" customWidth="1"/>
    <col min="13" max="13" width="19.375" style="292" customWidth="1"/>
    <col min="14" max="16384" width="9" style="287"/>
  </cols>
  <sheetData>
    <row r="1" ht="14.25" spans="1:1">
      <c r="A1" s="286" t="s">
        <v>0</v>
      </c>
    </row>
    <row r="2" s="286" customFormat="1" ht="22.5" spans="1:13">
      <c r="A2" s="293" t="s">
        <v>1</v>
      </c>
      <c r="B2" s="293"/>
      <c r="C2" s="294"/>
      <c r="D2" s="294"/>
      <c r="E2" s="293"/>
      <c r="F2" s="293"/>
      <c r="G2" s="294"/>
      <c r="H2" s="294"/>
      <c r="I2" s="294"/>
      <c r="J2" s="294"/>
      <c r="K2" s="294"/>
      <c r="L2" s="294"/>
      <c r="M2" s="293"/>
    </row>
    <row r="3" s="287" customFormat="1" ht="14.25" spans="1:13">
      <c r="A3" s="140" t="s">
        <v>2</v>
      </c>
      <c r="B3" s="295"/>
      <c r="C3" s="296"/>
      <c r="D3" s="296"/>
      <c r="E3" s="295"/>
      <c r="F3" s="297" t="s">
        <v>3</v>
      </c>
      <c r="G3" s="297"/>
      <c r="H3" s="297"/>
      <c r="I3" s="175"/>
      <c r="J3" s="297"/>
      <c r="K3" s="290"/>
      <c r="L3" s="290"/>
      <c r="M3" s="287" t="s">
        <v>4</v>
      </c>
    </row>
    <row r="4" s="288" customFormat="1" ht="11.25" spans="1:13">
      <c r="A4" s="298" t="s">
        <v>5</v>
      </c>
      <c r="B4" s="299"/>
      <c r="C4" s="300"/>
      <c r="D4" s="301"/>
      <c r="E4" s="198" t="s">
        <v>6</v>
      </c>
      <c r="F4" s="198"/>
      <c r="G4" s="199"/>
      <c r="H4" s="199"/>
      <c r="I4" s="199"/>
      <c r="J4" s="199"/>
      <c r="K4" s="199"/>
      <c r="L4" s="199"/>
      <c r="M4" s="222" t="s">
        <v>7</v>
      </c>
    </row>
    <row r="5" s="288" customFormat="1" ht="11.25" spans="1:13">
      <c r="A5" s="302" t="s">
        <v>8</v>
      </c>
      <c r="B5" s="201" t="s">
        <v>9</v>
      </c>
      <c r="C5" s="202" t="s">
        <v>10</v>
      </c>
      <c r="D5" s="202" t="s">
        <v>11</v>
      </c>
      <c r="E5" s="198" t="s">
        <v>8</v>
      </c>
      <c r="F5" s="201" t="s">
        <v>9</v>
      </c>
      <c r="G5" s="202" t="s">
        <v>10</v>
      </c>
      <c r="H5" s="203" t="s">
        <v>12</v>
      </c>
      <c r="I5" s="203"/>
      <c r="J5" s="203"/>
      <c r="K5" s="203"/>
      <c r="L5" s="203"/>
      <c r="M5" s="222"/>
    </row>
    <row r="6" s="288" customFormat="1" ht="33.75" spans="1:13">
      <c r="A6" s="303"/>
      <c r="B6" s="205"/>
      <c r="C6" s="206"/>
      <c r="D6" s="206"/>
      <c r="E6" s="198"/>
      <c r="F6" s="205"/>
      <c r="G6" s="206"/>
      <c r="H6" s="203" t="s">
        <v>13</v>
      </c>
      <c r="I6" s="203" t="s">
        <v>14</v>
      </c>
      <c r="J6" s="203" t="s">
        <v>15</v>
      </c>
      <c r="K6" s="203" t="s">
        <v>16</v>
      </c>
      <c r="L6" s="203" t="s">
        <v>17</v>
      </c>
      <c r="M6" s="222"/>
    </row>
    <row r="7" s="288" customFormat="1" ht="56.25" spans="1:13">
      <c r="A7" s="304" t="s">
        <v>18</v>
      </c>
      <c r="B7" s="305">
        <v>27456</v>
      </c>
      <c r="C7" s="306">
        <f>B7+D7</f>
        <v>27456</v>
      </c>
      <c r="D7" s="307"/>
      <c r="E7" s="308" t="s">
        <v>19</v>
      </c>
      <c r="F7" s="309">
        <v>26455</v>
      </c>
      <c r="G7" s="310">
        <f>F7+H7</f>
        <v>24530.21</v>
      </c>
      <c r="H7" s="311">
        <f>I7+J7+K7+L7</f>
        <v>-1924.79</v>
      </c>
      <c r="I7" s="310"/>
      <c r="J7" s="339">
        <v>77</v>
      </c>
      <c r="K7" s="310">
        <f>130.53+7+61.02</f>
        <v>198.55</v>
      </c>
      <c r="L7" s="310">
        <f>320.26+9.4+100-2630</f>
        <v>-2200.34</v>
      </c>
      <c r="M7" s="351" t="s">
        <v>20</v>
      </c>
    </row>
    <row r="8" s="288" customFormat="1" ht="11.25" spans="1:13">
      <c r="A8" s="312" t="s">
        <v>21</v>
      </c>
      <c r="B8" s="313">
        <f>B9+B83+B84+B89+B90+B91</f>
        <v>203058</v>
      </c>
      <c r="C8" s="314">
        <f>C9+C83+C84+C89+C90+C91</f>
        <v>258646.01</v>
      </c>
      <c r="D8" s="315">
        <f>D9+D83+D84+D89+D90+D91</f>
        <v>55588.01</v>
      </c>
      <c r="E8" s="308" t="s">
        <v>22</v>
      </c>
      <c r="F8" s="309"/>
      <c r="G8" s="310">
        <f t="shared" ref="G8:G37" si="0">F8+H8</f>
        <v>0</v>
      </c>
      <c r="H8" s="311">
        <f t="shared" ref="H8:H39" si="1">I8+J8+K8+L8</f>
        <v>0</v>
      </c>
      <c r="I8" s="310"/>
      <c r="J8" s="339"/>
      <c r="K8" s="310"/>
      <c r="L8" s="310"/>
      <c r="M8" s="351"/>
    </row>
    <row r="9" s="288" customFormat="1" ht="22.5" spans="1:13">
      <c r="A9" s="312" t="s">
        <v>23</v>
      </c>
      <c r="B9" s="305">
        <f>B10+B17+B61</f>
        <v>130153</v>
      </c>
      <c r="C9" s="306">
        <f t="shared" ref="C9:C16" si="2">B9+D9</f>
        <v>170724.6</v>
      </c>
      <c r="D9" s="316">
        <f>D10+D17+D61</f>
        <v>40571.6</v>
      </c>
      <c r="E9" s="308" t="s">
        <v>24</v>
      </c>
      <c r="F9" s="309">
        <v>168</v>
      </c>
      <c r="G9" s="310">
        <f t="shared" si="0"/>
        <v>169.24</v>
      </c>
      <c r="H9" s="311">
        <f t="shared" si="1"/>
        <v>1.24</v>
      </c>
      <c r="I9" s="310"/>
      <c r="J9" s="339"/>
      <c r="K9" s="310">
        <v>1.24</v>
      </c>
      <c r="L9" s="310"/>
      <c r="M9" s="351" t="s">
        <v>25</v>
      </c>
    </row>
    <row r="10" s="288" customFormat="1" ht="56.25" spans="1:13">
      <c r="A10" s="312" t="s">
        <v>26</v>
      </c>
      <c r="B10" s="317">
        <f>SUM(B11:B16)</f>
        <v>3444</v>
      </c>
      <c r="C10" s="306">
        <f t="shared" si="2"/>
        <v>3444</v>
      </c>
      <c r="D10" s="318">
        <f>SUM(D11:D16)</f>
        <v>0</v>
      </c>
      <c r="E10" s="308" t="s">
        <v>27</v>
      </c>
      <c r="F10" s="309">
        <v>6860</v>
      </c>
      <c r="G10" s="310">
        <f t="shared" si="0"/>
        <v>7430.01</v>
      </c>
      <c r="H10" s="311">
        <f t="shared" si="1"/>
        <v>570.01</v>
      </c>
      <c r="I10" s="310">
        <v>150</v>
      </c>
      <c r="J10" s="339"/>
      <c r="K10" s="310">
        <v>251</v>
      </c>
      <c r="L10" s="310">
        <f>169.01</f>
        <v>169.01</v>
      </c>
      <c r="M10" s="351" t="s">
        <v>28</v>
      </c>
    </row>
    <row r="11" s="288" customFormat="1" ht="45" spans="1:13">
      <c r="A11" s="319" t="s">
        <v>29</v>
      </c>
      <c r="B11" s="313">
        <v>586</v>
      </c>
      <c r="C11" s="306">
        <f t="shared" si="2"/>
        <v>586</v>
      </c>
      <c r="D11" s="315"/>
      <c r="E11" s="308" t="s">
        <v>30</v>
      </c>
      <c r="F11" s="309">
        <v>30647</v>
      </c>
      <c r="G11" s="310">
        <f t="shared" si="0"/>
        <v>32992.27</v>
      </c>
      <c r="H11" s="311">
        <f t="shared" si="1"/>
        <v>2345.27</v>
      </c>
      <c r="I11" s="310">
        <v>884</v>
      </c>
      <c r="J11" s="339"/>
      <c r="K11" s="310">
        <f>1581.81-8.89-16+4.35</f>
        <v>1561.27</v>
      </c>
      <c r="L11" s="310">
        <v>-100</v>
      </c>
      <c r="M11" s="351" t="s">
        <v>31</v>
      </c>
    </row>
    <row r="12" s="288" customFormat="1" ht="33.75" spans="1:13">
      <c r="A12" s="319" t="s">
        <v>32</v>
      </c>
      <c r="B12" s="313">
        <v>138</v>
      </c>
      <c r="C12" s="306">
        <f t="shared" si="2"/>
        <v>138</v>
      </c>
      <c r="D12" s="315"/>
      <c r="E12" s="308" t="s">
        <v>33</v>
      </c>
      <c r="F12" s="309">
        <v>2971</v>
      </c>
      <c r="G12" s="310">
        <f t="shared" si="0"/>
        <v>2901</v>
      </c>
      <c r="H12" s="311">
        <f t="shared" si="1"/>
        <v>-70</v>
      </c>
      <c r="I12" s="310"/>
      <c r="J12" s="339">
        <v>10</v>
      </c>
      <c r="K12" s="310"/>
      <c r="L12" s="310">
        <v>-80</v>
      </c>
      <c r="M12" s="351" t="s">
        <v>34</v>
      </c>
    </row>
    <row r="13" s="288" customFormat="1" ht="67.5" spans="1:13">
      <c r="A13" s="319" t="s">
        <v>35</v>
      </c>
      <c r="B13" s="313">
        <v>1420</v>
      </c>
      <c r="C13" s="306">
        <f t="shared" si="2"/>
        <v>1420</v>
      </c>
      <c r="D13" s="315"/>
      <c r="E13" s="320" t="s">
        <v>36</v>
      </c>
      <c r="F13" s="309">
        <v>4148</v>
      </c>
      <c r="G13" s="310">
        <f t="shared" si="0"/>
        <v>9097</v>
      </c>
      <c r="H13" s="311">
        <f t="shared" si="1"/>
        <v>4949</v>
      </c>
      <c r="I13" s="310">
        <v>2800</v>
      </c>
      <c r="J13" s="339">
        <v>2000</v>
      </c>
      <c r="K13" s="310">
        <f>212.87+22.04</f>
        <v>234.91</v>
      </c>
      <c r="L13" s="310">
        <f>4.09-90</f>
        <v>-85.91</v>
      </c>
      <c r="M13" s="351" t="s">
        <v>37</v>
      </c>
    </row>
    <row r="14" s="288" customFormat="1" ht="90" spans="1:13">
      <c r="A14" s="319" t="s">
        <v>38</v>
      </c>
      <c r="B14" s="313"/>
      <c r="C14" s="306">
        <f t="shared" si="2"/>
        <v>0</v>
      </c>
      <c r="D14" s="315"/>
      <c r="E14" s="321" t="s">
        <v>39</v>
      </c>
      <c r="F14" s="309">
        <v>37548</v>
      </c>
      <c r="G14" s="310">
        <f t="shared" si="0"/>
        <v>41266</v>
      </c>
      <c r="H14" s="311">
        <f t="shared" si="1"/>
        <v>3718</v>
      </c>
      <c r="I14" s="310"/>
      <c r="J14" s="339">
        <v>11</v>
      </c>
      <c r="K14" s="310">
        <f>678.8+366.84+223.56</f>
        <v>1269.2</v>
      </c>
      <c r="L14" s="310">
        <f>700+780+1157.8-200</f>
        <v>2437.8</v>
      </c>
      <c r="M14" s="351" t="s">
        <v>40</v>
      </c>
    </row>
    <row r="15" s="288" customFormat="1" ht="56.25" spans="1:13">
      <c r="A15" s="319" t="s">
        <v>41</v>
      </c>
      <c r="B15" s="313"/>
      <c r="C15" s="306">
        <f t="shared" si="2"/>
        <v>0</v>
      </c>
      <c r="D15" s="315"/>
      <c r="E15" s="308" t="s">
        <v>42</v>
      </c>
      <c r="F15" s="309">
        <v>17291</v>
      </c>
      <c r="G15" s="310">
        <f t="shared" si="0"/>
        <v>19616.51</v>
      </c>
      <c r="H15" s="311">
        <f t="shared" si="1"/>
        <v>2325.51</v>
      </c>
      <c r="I15" s="310"/>
      <c r="J15" s="339">
        <v>40.5</v>
      </c>
      <c r="K15" s="310">
        <f>1334.95+1257+332+55.7+0.07+48.01+122.64</f>
        <v>3150.37</v>
      </c>
      <c r="L15" s="310">
        <f>-592.03+96.67-370</f>
        <v>-865.36</v>
      </c>
      <c r="M15" s="351" t="s">
        <v>43</v>
      </c>
    </row>
    <row r="16" s="288" customFormat="1" ht="45" spans="1:13">
      <c r="A16" s="319" t="s">
        <v>44</v>
      </c>
      <c r="B16" s="313">
        <v>1300</v>
      </c>
      <c r="C16" s="306">
        <f t="shared" si="2"/>
        <v>1300</v>
      </c>
      <c r="D16" s="315"/>
      <c r="E16" s="308" t="s">
        <v>45</v>
      </c>
      <c r="F16" s="309">
        <v>6403</v>
      </c>
      <c r="G16" s="310">
        <f t="shared" si="0"/>
        <v>6428</v>
      </c>
      <c r="H16" s="311">
        <f t="shared" si="1"/>
        <v>25</v>
      </c>
      <c r="I16" s="310"/>
      <c r="J16" s="339">
        <v>25</v>
      </c>
      <c r="K16" s="310">
        <v>50</v>
      </c>
      <c r="L16" s="310">
        <v>-50</v>
      </c>
      <c r="M16" s="352" t="s">
        <v>46</v>
      </c>
    </row>
    <row r="17" s="288" customFormat="1" ht="67.5" spans="1:13">
      <c r="A17" s="312" t="s">
        <v>47</v>
      </c>
      <c r="B17" s="317">
        <f>SUM(B18:B60)</f>
        <v>120048</v>
      </c>
      <c r="C17" s="322">
        <f>SUM(C18:C60)</f>
        <v>150799.35</v>
      </c>
      <c r="D17" s="318">
        <f>SUM(D18:D60)</f>
        <v>30751.35</v>
      </c>
      <c r="E17" s="308" t="s">
        <v>48</v>
      </c>
      <c r="F17" s="309">
        <v>6812</v>
      </c>
      <c r="G17" s="310">
        <f t="shared" si="0"/>
        <v>11210.02</v>
      </c>
      <c r="H17" s="311">
        <f t="shared" si="1"/>
        <v>4398.02</v>
      </c>
      <c r="I17" s="310">
        <v>3826.29</v>
      </c>
      <c r="J17" s="339">
        <v>1122.4</v>
      </c>
      <c r="K17" s="310">
        <v>600</v>
      </c>
      <c r="L17" s="310">
        <f>121-296.67-80-895</f>
        <v>-1150.67</v>
      </c>
      <c r="M17" s="351" t="s">
        <v>49</v>
      </c>
    </row>
    <row r="18" s="288" customFormat="1" ht="78.75" spans="1:13">
      <c r="A18" s="319" t="s">
        <v>50</v>
      </c>
      <c r="B18" s="323">
        <v>1280</v>
      </c>
      <c r="C18" s="306">
        <f>B18+D18</f>
        <v>1280</v>
      </c>
      <c r="D18" s="324"/>
      <c r="E18" s="308" t="s">
        <v>51</v>
      </c>
      <c r="F18" s="309">
        <v>43092</v>
      </c>
      <c r="G18" s="310">
        <f t="shared" si="0"/>
        <v>61277.47</v>
      </c>
      <c r="H18" s="311">
        <f t="shared" si="1"/>
        <v>18185.47</v>
      </c>
      <c r="I18" s="310">
        <v>2350</v>
      </c>
      <c r="J18" s="339">
        <f>3785.5+536-19+400</f>
        <v>4702.5</v>
      </c>
      <c r="K18" s="310">
        <f>10183.28+12.36+70+1097+9.91</f>
        <v>11372.55</v>
      </c>
      <c r="L18" s="310">
        <f>0.42-740+500</f>
        <v>-239.58</v>
      </c>
      <c r="M18" s="351" t="s">
        <v>52</v>
      </c>
    </row>
    <row r="19" s="288" customFormat="1" ht="101.25" spans="1:13">
      <c r="A19" s="325" t="s">
        <v>53</v>
      </c>
      <c r="B19" s="323">
        <v>31233</v>
      </c>
      <c r="C19" s="306">
        <f>B19+D19</f>
        <v>36119</v>
      </c>
      <c r="D19" s="324">
        <v>4886</v>
      </c>
      <c r="E19" s="308" t="s">
        <v>54</v>
      </c>
      <c r="F19" s="309">
        <v>4095</v>
      </c>
      <c r="G19" s="310">
        <f t="shared" si="0"/>
        <v>14931.99</v>
      </c>
      <c r="H19" s="311">
        <f t="shared" si="1"/>
        <v>10836.99</v>
      </c>
      <c r="I19" s="310">
        <v>5787</v>
      </c>
      <c r="J19" s="339">
        <v>103.91</v>
      </c>
      <c r="K19" s="310">
        <f>3646+280.08+40</f>
        <v>3966.08</v>
      </c>
      <c r="L19" s="310">
        <f>1000-20</f>
        <v>980</v>
      </c>
      <c r="M19" s="351" t="s">
        <v>55</v>
      </c>
    </row>
    <row r="20" s="288" customFormat="1" ht="45" spans="1:13">
      <c r="A20" s="326" t="s">
        <v>56</v>
      </c>
      <c r="B20" s="323">
        <v>7856</v>
      </c>
      <c r="C20" s="306">
        <f>B20+D20</f>
        <v>7856</v>
      </c>
      <c r="D20" s="324"/>
      <c r="E20" s="327" t="s">
        <v>57</v>
      </c>
      <c r="F20" s="309">
        <v>320</v>
      </c>
      <c r="G20" s="310">
        <f t="shared" si="0"/>
        <v>362.13</v>
      </c>
      <c r="H20" s="311">
        <f t="shared" si="1"/>
        <v>42.13</v>
      </c>
      <c r="I20" s="310"/>
      <c r="J20" s="339">
        <f>0.4+30</f>
        <v>30.4</v>
      </c>
      <c r="K20" s="310">
        <v>41.73</v>
      </c>
      <c r="L20" s="310">
        <v>-30</v>
      </c>
      <c r="M20" s="351" t="s">
        <v>58</v>
      </c>
    </row>
    <row r="21" s="288" customFormat="1" ht="45" spans="1:13">
      <c r="A21" s="328" t="s">
        <v>59</v>
      </c>
      <c r="B21" s="323">
        <v>1037</v>
      </c>
      <c r="C21" s="306">
        <f t="shared" ref="C18:C36" si="3">B21+D21</f>
        <v>4375.57</v>
      </c>
      <c r="D21" s="324">
        <f>1648.48+188.51+12.36+0.07-16+1097+48.01+280.08+7+22.04+51.02</f>
        <v>3338.57</v>
      </c>
      <c r="E21" s="321" t="s">
        <v>60</v>
      </c>
      <c r="F21" s="309">
        <v>149</v>
      </c>
      <c r="G21" s="310">
        <f t="shared" si="0"/>
        <v>434</v>
      </c>
      <c r="H21" s="311">
        <f t="shared" si="1"/>
        <v>285</v>
      </c>
      <c r="I21" s="310"/>
      <c r="J21" s="339">
        <v>280</v>
      </c>
      <c r="K21" s="310">
        <v>15</v>
      </c>
      <c r="L21" s="310">
        <v>-10</v>
      </c>
      <c r="M21" s="351" t="s">
        <v>61</v>
      </c>
    </row>
    <row r="22" s="288" customFormat="1" ht="22.5" spans="1:13">
      <c r="A22" s="329" t="s">
        <v>62</v>
      </c>
      <c r="B22" s="323"/>
      <c r="C22" s="306">
        <f t="shared" si="3"/>
        <v>0</v>
      </c>
      <c r="D22" s="324"/>
      <c r="E22" s="308" t="s">
        <v>63</v>
      </c>
      <c r="F22" s="309"/>
      <c r="G22" s="310">
        <f t="shared" si="0"/>
        <v>828.64</v>
      </c>
      <c r="H22" s="311">
        <f t="shared" si="1"/>
        <v>828.64</v>
      </c>
      <c r="I22" s="310"/>
      <c r="J22" s="339">
        <f>630.29+198.35</f>
        <v>828.64</v>
      </c>
      <c r="K22" s="310"/>
      <c r="L22" s="310"/>
      <c r="M22" s="351" t="s">
        <v>64</v>
      </c>
    </row>
    <row r="23" s="288" customFormat="1" ht="11.25" spans="1:13">
      <c r="A23" s="328" t="s">
        <v>65</v>
      </c>
      <c r="B23" s="323"/>
      <c r="C23" s="306">
        <f t="shared" si="3"/>
        <v>0</v>
      </c>
      <c r="D23" s="324"/>
      <c r="E23" s="320" t="s">
        <v>66</v>
      </c>
      <c r="F23" s="309"/>
      <c r="G23" s="310">
        <f t="shared" si="0"/>
        <v>0</v>
      </c>
      <c r="H23" s="311">
        <f t="shared" si="1"/>
        <v>0</v>
      </c>
      <c r="I23" s="310"/>
      <c r="J23" s="339"/>
      <c r="K23" s="310"/>
      <c r="L23" s="310"/>
      <c r="M23" s="351"/>
    </row>
    <row r="24" s="288" customFormat="1" ht="33.75" spans="1:13">
      <c r="A24" s="330" t="s">
        <v>67</v>
      </c>
      <c r="B24" s="323"/>
      <c r="C24" s="306">
        <f t="shared" si="3"/>
        <v>0</v>
      </c>
      <c r="D24" s="324"/>
      <c r="E24" s="320" t="s">
        <v>68</v>
      </c>
      <c r="F24" s="309">
        <v>1782</v>
      </c>
      <c r="G24" s="310">
        <f t="shared" si="0"/>
        <v>1982</v>
      </c>
      <c r="H24" s="311">
        <f t="shared" si="1"/>
        <v>200</v>
      </c>
      <c r="I24" s="310"/>
      <c r="J24" s="310">
        <v>220</v>
      </c>
      <c r="K24" s="310"/>
      <c r="L24" s="310">
        <v>-20</v>
      </c>
      <c r="M24" s="351" t="s">
        <v>69</v>
      </c>
    </row>
    <row r="25" s="288" customFormat="1" ht="33.75" spans="1:13">
      <c r="A25" s="328" t="s">
        <v>70</v>
      </c>
      <c r="B25" s="323"/>
      <c r="C25" s="306">
        <f t="shared" si="3"/>
        <v>0</v>
      </c>
      <c r="D25" s="324"/>
      <c r="E25" s="308" t="s">
        <v>71</v>
      </c>
      <c r="F25" s="309">
        <v>4950</v>
      </c>
      <c r="G25" s="310">
        <f t="shared" si="0"/>
        <v>5530.94</v>
      </c>
      <c r="H25" s="311">
        <f t="shared" si="1"/>
        <v>580.94</v>
      </c>
      <c r="I25" s="310">
        <v>96</v>
      </c>
      <c r="J25" s="310"/>
      <c r="K25" s="310">
        <v>484.94</v>
      </c>
      <c r="L25" s="310"/>
      <c r="M25" s="351" t="s">
        <v>72</v>
      </c>
    </row>
    <row r="26" s="288" customFormat="1" ht="22.5" spans="1:13">
      <c r="A26" s="328" t="s">
        <v>73</v>
      </c>
      <c r="B26" s="323"/>
      <c r="C26" s="306">
        <f t="shared" si="3"/>
        <v>0</v>
      </c>
      <c r="D26" s="324"/>
      <c r="E26" s="321" t="s">
        <v>74</v>
      </c>
      <c r="F26" s="309">
        <v>311</v>
      </c>
      <c r="G26" s="310">
        <f t="shared" si="0"/>
        <v>407</v>
      </c>
      <c r="H26" s="311">
        <f t="shared" si="1"/>
        <v>96</v>
      </c>
      <c r="I26" s="310"/>
      <c r="J26" s="310"/>
      <c r="K26" s="310">
        <v>96</v>
      </c>
      <c r="L26" s="310"/>
      <c r="M26" s="351" t="s">
        <v>75</v>
      </c>
    </row>
    <row r="27" s="288" customFormat="1" ht="45" spans="1:13">
      <c r="A27" s="328" t="s">
        <v>76</v>
      </c>
      <c r="B27" s="323"/>
      <c r="C27" s="306">
        <f t="shared" si="3"/>
        <v>0</v>
      </c>
      <c r="D27" s="324"/>
      <c r="E27" s="320" t="s">
        <v>77</v>
      </c>
      <c r="F27" s="309">
        <v>4280</v>
      </c>
      <c r="G27" s="310">
        <f t="shared" si="0"/>
        <v>4480.9</v>
      </c>
      <c r="H27" s="311">
        <f t="shared" si="1"/>
        <v>200.9</v>
      </c>
      <c r="I27" s="310"/>
      <c r="J27" s="310">
        <f>175.3+60+33.6</f>
        <v>268.9</v>
      </c>
      <c r="K27" s="310">
        <v>12</v>
      </c>
      <c r="L27" s="310">
        <v>-80</v>
      </c>
      <c r="M27" s="351" t="s">
        <v>78</v>
      </c>
    </row>
    <row r="28" s="288" customFormat="1" ht="11.25" spans="1:13">
      <c r="A28" s="325" t="s">
        <v>79</v>
      </c>
      <c r="B28" s="323"/>
      <c r="C28" s="306">
        <f t="shared" si="3"/>
        <v>0</v>
      </c>
      <c r="D28" s="324"/>
      <c r="E28" s="308" t="s">
        <v>80</v>
      </c>
      <c r="F28" s="309">
        <v>3000</v>
      </c>
      <c r="G28" s="310">
        <f t="shared" si="0"/>
        <v>1500</v>
      </c>
      <c r="H28" s="311">
        <f t="shared" si="1"/>
        <v>-1500</v>
      </c>
      <c r="I28" s="310"/>
      <c r="J28" s="310"/>
      <c r="K28" s="310"/>
      <c r="L28" s="310">
        <v>-1500</v>
      </c>
      <c r="M28" s="351" t="s">
        <v>81</v>
      </c>
    </row>
    <row r="29" s="288" customFormat="1" ht="33.75" spans="1:13">
      <c r="A29" s="328" t="s">
        <v>82</v>
      </c>
      <c r="B29" s="323"/>
      <c r="C29" s="306">
        <f t="shared" si="3"/>
        <v>0</v>
      </c>
      <c r="D29" s="324"/>
      <c r="E29" s="308" t="s">
        <v>83</v>
      </c>
      <c r="F29" s="309">
        <v>3327</v>
      </c>
      <c r="G29" s="310">
        <f t="shared" si="0"/>
        <v>4093.91</v>
      </c>
      <c r="H29" s="311">
        <f t="shared" si="1"/>
        <v>766.91</v>
      </c>
      <c r="I29" s="310"/>
      <c r="J29" s="310"/>
      <c r="K29" s="310"/>
      <c r="L29" s="310">
        <f>620+21+3.91+120+2</f>
        <v>766.91</v>
      </c>
      <c r="M29" s="351" t="s">
        <v>84</v>
      </c>
    </row>
    <row r="30" s="288" customFormat="1" ht="11.25" spans="1:13">
      <c r="A30" s="328" t="s">
        <v>85</v>
      </c>
      <c r="B30" s="323">
        <v>280</v>
      </c>
      <c r="C30" s="306">
        <f t="shared" si="3"/>
        <v>376</v>
      </c>
      <c r="D30" s="324">
        <v>96</v>
      </c>
      <c r="E30" s="321" t="s">
        <v>86</v>
      </c>
      <c r="F30" s="309">
        <v>50</v>
      </c>
      <c r="G30" s="310">
        <f t="shared" si="0"/>
        <v>29</v>
      </c>
      <c r="H30" s="311">
        <f t="shared" si="1"/>
        <v>-21</v>
      </c>
      <c r="I30" s="310"/>
      <c r="J30" s="310"/>
      <c r="K30" s="310"/>
      <c r="L30" s="310">
        <v>-21</v>
      </c>
      <c r="M30" s="351" t="s">
        <v>87</v>
      </c>
    </row>
    <row r="31" s="288" customFormat="1" ht="45" spans="1:13">
      <c r="A31" s="328" t="s">
        <v>88</v>
      </c>
      <c r="B31" s="323">
        <v>6902</v>
      </c>
      <c r="C31" s="306">
        <f t="shared" si="3"/>
        <v>7958</v>
      </c>
      <c r="D31" s="324">
        <v>1056</v>
      </c>
      <c r="E31" s="308" t="s">
        <v>89</v>
      </c>
      <c r="F31" s="309">
        <v>1201</v>
      </c>
      <c r="G31" s="310">
        <f t="shared" si="0"/>
        <v>4735.56</v>
      </c>
      <c r="H31" s="311">
        <f t="shared" si="1"/>
        <v>3534.56</v>
      </c>
      <c r="I31" s="310"/>
      <c r="J31" s="310">
        <v>100</v>
      </c>
      <c r="K31" s="310"/>
      <c r="L31" s="310">
        <f>2600.86+291.24+542.46</f>
        <v>3434.56</v>
      </c>
      <c r="M31" s="351" t="s">
        <v>90</v>
      </c>
    </row>
    <row r="32" s="288" customFormat="1" ht="11.25" spans="1:13">
      <c r="A32" s="328" t="s">
        <v>91</v>
      </c>
      <c r="B32" s="323">
        <v>9846</v>
      </c>
      <c r="C32" s="306">
        <f t="shared" si="3"/>
        <v>10640</v>
      </c>
      <c r="D32" s="324">
        <v>794</v>
      </c>
      <c r="E32" s="331" t="s">
        <v>92</v>
      </c>
      <c r="F32" s="332">
        <f>SUM(F7:F31)</f>
        <v>205860</v>
      </c>
      <c r="G32" s="310">
        <f t="shared" si="0"/>
        <v>256233.8</v>
      </c>
      <c r="H32" s="311">
        <f t="shared" si="1"/>
        <v>50373.8</v>
      </c>
      <c r="I32" s="348">
        <f>SUM(I7:I31)</f>
        <v>15893.29</v>
      </c>
      <c r="J32" s="348">
        <f>SUM(J7:J31)</f>
        <v>9820.25</v>
      </c>
      <c r="K32" s="348">
        <f>SUM(K7:K31)</f>
        <v>23304.84</v>
      </c>
      <c r="L32" s="348">
        <f>SUM(L7:L31)</f>
        <v>1355.42</v>
      </c>
      <c r="M32" s="351"/>
    </row>
    <row r="33" s="288" customFormat="1" ht="11.25" spans="1:13">
      <c r="A33" s="328" t="s">
        <v>93</v>
      </c>
      <c r="B33" s="323">
        <v>1194</v>
      </c>
      <c r="C33" s="306">
        <f t="shared" si="3"/>
        <v>1971</v>
      </c>
      <c r="D33" s="324">
        <v>777</v>
      </c>
      <c r="E33" s="333" t="s">
        <v>94</v>
      </c>
      <c r="F33" s="317">
        <f>F34+F37</f>
        <v>24654</v>
      </c>
      <c r="G33" s="310">
        <f t="shared" si="0"/>
        <v>29868.21</v>
      </c>
      <c r="H33" s="311">
        <f t="shared" si="1"/>
        <v>5214.21</v>
      </c>
      <c r="I33" s="322">
        <f>I34+I37</f>
        <v>5238.12</v>
      </c>
      <c r="J33" s="322">
        <f>J34+J37</f>
        <v>0</v>
      </c>
      <c r="K33" s="322">
        <f>K34+K37</f>
        <v>0</v>
      </c>
      <c r="L33" s="322">
        <f>L34+L37</f>
        <v>-23.91</v>
      </c>
      <c r="M33" s="351"/>
    </row>
    <row r="34" s="288" customFormat="1" ht="11.25" spans="1:13">
      <c r="A34" s="328" t="s">
        <v>95</v>
      </c>
      <c r="B34" s="323">
        <v>10004</v>
      </c>
      <c r="C34" s="306">
        <f t="shared" si="3"/>
        <v>10711</v>
      </c>
      <c r="D34" s="324">
        <v>707</v>
      </c>
      <c r="E34" s="334" t="s">
        <v>96</v>
      </c>
      <c r="F34" s="332">
        <v>3071</v>
      </c>
      <c r="G34" s="310">
        <f t="shared" si="0"/>
        <v>3071</v>
      </c>
      <c r="H34" s="311">
        <f t="shared" si="1"/>
        <v>0</v>
      </c>
      <c r="I34" s="310"/>
      <c r="J34" s="310"/>
      <c r="K34" s="310"/>
      <c r="L34" s="310">
        <f>L35+L36</f>
        <v>0</v>
      </c>
      <c r="M34" s="351"/>
    </row>
    <row r="35" s="288" customFormat="1" ht="11.25" spans="1:13">
      <c r="A35" s="328" t="s">
        <v>97</v>
      </c>
      <c r="B35" s="323">
        <v>16434</v>
      </c>
      <c r="C35" s="306">
        <f t="shared" ref="C35:C63" si="4">B35+D35</f>
        <v>24665</v>
      </c>
      <c r="D35" s="324">
        <v>8231</v>
      </c>
      <c r="E35" s="335" t="s">
        <v>98</v>
      </c>
      <c r="F35" s="332">
        <v>3071</v>
      </c>
      <c r="G35" s="310">
        <f t="shared" si="0"/>
        <v>167</v>
      </c>
      <c r="H35" s="311">
        <f t="shared" si="1"/>
        <v>-2904</v>
      </c>
      <c r="I35" s="310"/>
      <c r="J35" s="310"/>
      <c r="K35" s="310"/>
      <c r="L35" s="310">
        <v>-2904</v>
      </c>
      <c r="M35" s="351"/>
    </row>
    <row r="36" s="288" customFormat="1" ht="11.25" spans="1:13">
      <c r="A36" s="336" t="s">
        <v>99</v>
      </c>
      <c r="B36" s="323"/>
      <c r="C36" s="306">
        <f t="shared" si="4"/>
        <v>0</v>
      </c>
      <c r="D36" s="324"/>
      <c r="E36" s="335" t="s">
        <v>100</v>
      </c>
      <c r="F36" s="332"/>
      <c r="G36" s="310">
        <f t="shared" si="0"/>
        <v>2904</v>
      </c>
      <c r="H36" s="311">
        <f t="shared" si="1"/>
        <v>2904</v>
      </c>
      <c r="I36" s="310"/>
      <c r="J36" s="310"/>
      <c r="K36" s="310"/>
      <c r="L36" s="310">
        <v>2904</v>
      </c>
      <c r="M36" s="351"/>
    </row>
    <row r="37" s="288" customFormat="1" ht="33.75" spans="1:13">
      <c r="A37" s="337" t="s">
        <v>101</v>
      </c>
      <c r="B37" s="323"/>
      <c r="C37" s="306">
        <f t="shared" si="4"/>
        <v>0</v>
      </c>
      <c r="D37" s="324"/>
      <c r="E37" s="338" t="s">
        <v>102</v>
      </c>
      <c r="F37" s="332">
        <v>21583</v>
      </c>
      <c r="G37" s="310">
        <f t="shared" si="0"/>
        <v>26797.21</v>
      </c>
      <c r="H37" s="311">
        <f t="shared" si="1"/>
        <v>5214.21</v>
      </c>
      <c r="I37" s="310">
        <f>5154+84.12</f>
        <v>5238.12</v>
      </c>
      <c r="J37" s="310"/>
      <c r="K37" s="310"/>
      <c r="L37" s="310">
        <f>-20-3.91</f>
        <v>-23.91</v>
      </c>
      <c r="M37" s="351" t="s">
        <v>103</v>
      </c>
    </row>
    <row r="38" s="288" customFormat="1" ht="11.25" spans="1:13">
      <c r="A38" s="337" t="s">
        <v>104</v>
      </c>
      <c r="B38" s="323"/>
      <c r="C38" s="306">
        <f t="shared" si="4"/>
        <v>0</v>
      </c>
      <c r="D38" s="324"/>
      <c r="E38" s="335"/>
      <c r="F38" s="332"/>
      <c r="G38" s="310"/>
      <c r="H38" s="311">
        <f t="shared" si="1"/>
        <v>0</v>
      </c>
      <c r="I38" s="310"/>
      <c r="J38" s="310"/>
      <c r="K38" s="310"/>
      <c r="L38" s="310"/>
      <c r="M38" s="351"/>
    </row>
    <row r="39" s="288" customFormat="1" ht="11.25" spans="1:13">
      <c r="A39" s="336" t="s">
        <v>105</v>
      </c>
      <c r="B39" s="323">
        <v>685</v>
      </c>
      <c r="C39" s="306">
        <f t="shared" si="4"/>
        <v>948</v>
      </c>
      <c r="D39" s="324">
        <v>263</v>
      </c>
      <c r="E39" s="335"/>
      <c r="F39" s="332"/>
      <c r="G39" s="310"/>
      <c r="H39" s="311">
        <f t="shared" si="1"/>
        <v>0</v>
      </c>
      <c r="I39" s="310"/>
      <c r="J39" s="310"/>
      <c r="K39" s="310"/>
      <c r="L39" s="310"/>
      <c r="M39" s="351"/>
    </row>
    <row r="40" s="288" customFormat="1" ht="11.25" spans="1:13">
      <c r="A40" s="337" t="s">
        <v>106</v>
      </c>
      <c r="B40" s="323">
        <v>5394</v>
      </c>
      <c r="C40" s="306">
        <f t="shared" si="4"/>
        <v>6919.27</v>
      </c>
      <c r="D40" s="324">
        <f>1529.81-8.89+4.35</f>
        <v>1525.27</v>
      </c>
      <c r="E40" s="335"/>
      <c r="F40" s="332"/>
      <c r="G40" s="310"/>
      <c r="H40" s="311">
        <f t="shared" ref="H40:H74" si="5">I40+J40+K40+L40</f>
        <v>0</v>
      </c>
      <c r="I40" s="310"/>
      <c r="J40" s="310"/>
      <c r="K40" s="310"/>
      <c r="L40" s="310"/>
      <c r="M40" s="351"/>
    </row>
    <row r="41" s="288" customFormat="1" ht="11.25" spans="1:13">
      <c r="A41" s="336" t="s">
        <v>107</v>
      </c>
      <c r="B41" s="323"/>
      <c r="C41" s="306">
        <f t="shared" si="4"/>
        <v>0</v>
      </c>
      <c r="D41" s="339"/>
      <c r="E41" s="335"/>
      <c r="F41" s="332"/>
      <c r="G41" s="310"/>
      <c r="H41" s="311">
        <f t="shared" si="5"/>
        <v>0</v>
      </c>
      <c r="I41" s="310"/>
      <c r="J41" s="310"/>
      <c r="K41" s="310"/>
      <c r="L41" s="310"/>
      <c r="M41" s="351"/>
    </row>
    <row r="42" s="288" customFormat="1" ht="11.25" spans="1:13">
      <c r="A42" s="340" t="s">
        <v>108</v>
      </c>
      <c r="B42" s="323">
        <v>598</v>
      </c>
      <c r="C42" s="306">
        <f t="shared" si="4"/>
        <v>802.8</v>
      </c>
      <c r="D42" s="324">
        <v>204.8</v>
      </c>
      <c r="E42" s="335"/>
      <c r="F42" s="332"/>
      <c r="G42" s="310"/>
      <c r="H42" s="311">
        <f t="shared" si="5"/>
        <v>0</v>
      </c>
      <c r="I42" s="310"/>
      <c r="J42" s="310"/>
      <c r="K42" s="310"/>
      <c r="L42" s="310"/>
      <c r="M42" s="351"/>
    </row>
    <row r="43" s="288" customFormat="1" ht="11.25" spans="1:13">
      <c r="A43" s="341" t="s">
        <v>109</v>
      </c>
      <c r="B43" s="323">
        <v>12848</v>
      </c>
      <c r="C43" s="306">
        <f t="shared" si="4"/>
        <v>14110.4</v>
      </c>
      <c r="D43" s="324">
        <f>672+366.84+223.56</f>
        <v>1262.4</v>
      </c>
      <c r="E43" s="335"/>
      <c r="F43" s="332"/>
      <c r="G43" s="310"/>
      <c r="H43" s="311">
        <f t="shared" si="5"/>
        <v>0</v>
      </c>
      <c r="I43" s="310"/>
      <c r="J43" s="310"/>
      <c r="K43" s="310"/>
      <c r="L43" s="310"/>
      <c r="M43" s="351"/>
    </row>
    <row r="44" s="288" customFormat="1" ht="11.25" spans="1:13">
      <c r="A44" s="336" t="s">
        <v>110</v>
      </c>
      <c r="B44" s="323">
        <v>3731</v>
      </c>
      <c r="C44" s="306">
        <f t="shared" si="4"/>
        <v>4885.65</v>
      </c>
      <c r="D44" s="324">
        <f>976.31+55.7+122.64</f>
        <v>1154.65</v>
      </c>
      <c r="E44" s="335"/>
      <c r="F44" s="332"/>
      <c r="G44" s="310"/>
      <c r="H44" s="311">
        <f t="shared" si="5"/>
        <v>0</v>
      </c>
      <c r="I44" s="310"/>
      <c r="J44" s="310"/>
      <c r="K44" s="310"/>
      <c r="L44" s="310"/>
      <c r="M44" s="351"/>
    </row>
    <row r="45" s="288" customFormat="1" ht="11.25" spans="1:13">
      <c r="A45" s="336" t="s">
        <v>111</v>
      </c>
      <c r="B45" s="323">
        <v>2894</v>
      </c>
      <c r="C45" s="306">
        <f t="shared" si="4"/>
        <v>2944</v>
      </c>
      <c r="D45" s="324">
        <v>50</v>
      </c>
      <c r="E45" s="335"/>
      <c r="F45" s="332"/>
      <c r="G45" s="310"/>
      <c r="H45" s="311">
        <f t="shared" si="5"/>
        <v>0</v>
      </c>
      <c r="I45" s="310"/>
      <c r="J45" s="310"/>
      <c r="K45" s="310"/>
      <c r="L45" s="310"/>
      <c r="M45" s="351"/>
    </row>
    <row r="46" s="288" customFormat="1" ht="11.25" spans="1:13">
      <c r="A46" s="336" t="s">
        <v>112</v>
      </c>
      <c r="B46" s="323"/>
      <c r="C46" s="306">
        <f t="shared" si="4"/>
        <v>0</v>
      </c>
      <c r="D46" s="339"/>
      <c r="E46" s="335"/>
      <c r="F46" s="332"/>
      <c r="G46" s="310"/>
      <c r="H46" s="311">
        <f t="shared" si="5"/>
        <v>0</v>
      </c>
      <c r="I46" s="310"/>
      <c r="J46" s="310"/>
      <c r="K46" s="310"/>
      <c r="L46" s="310"/>
      <c r="M46" s="351"/>
    </row>
    <row r="47" s="288" customFormat="1" ht="11.25" spans="1:13">
      <c r="A47" s="342" t="s">
        <v>113</v>
      </c>
      <c r="B47" s="323">
        <v>5972</v>
      </c>
      <c r="C47" s="306">
        <f t="shared" si="4"/>
        <v>8001.19</v>
      </c>
      <c r="D47" s="339">
        <f>1949.28+70+9.91</f>
        <v>2029.19</v>
      </c>
      <c r="E47" s="335"/>
      <c r="F47" s="332"/>
      <c r="G47" s="310"/>
      <c r="H47" s="311">
        <f t="shared" si="5"/>
        <v>0</v>
      </c>
      <c r="I47" s="310"/>
      <c r="J47" s="310"/>
      <c r="K47" s="310"/>
      <c r="L47" s="310"/>
      <c r="M47" s="351"/>
    </row>
    <row r="48" s="288" customFormat="1" ht="11.25" spans="1:13">
      <c r="A48" s="336" t="s">
        <v>114</v>
      </c>
      <c r="B48" s="323">
        <v>1416</v>
      </c>
      <c r="C48" s="306">
        <f t="shared" si="4"/>
        <v>4925</v>
      </c>
      <c r="D48" s="339">
        <f>3469+40</f>
        <v>3509</v>
      </c>
      <c r="E48" s="335"/>
      <c r="F48" s="332"/>
      <c r="G48" s="310"/>
      <c r="H48" s="311">
        <f t="shared" si="5"/>
        <v>0</v>
      </c>
      <c r="I48" s="310"/>
      <c r="J48" s="310"/>
      <c r="K48" s="310"/>
      <c r="L48" s="310"/>
      <c r="M48" s="351"/>
    </row>
    <row r="49" s="288" customFormat="1" ht="11.25" spans="1:13">
      <c r="A49" s="341" t="s">
        <v>115</v>
      </c>
      <c r="B49" s="323"/>
      <c r="C49" s="306">
        <f t="shared" si="4"/>
        <v>0</v>
      </c>
      <c r="D49" s="339"/>
      <c r="E49" s="335"/>
      <c r="F49" s="332"/>
      <c r="G49" s="310"/>
      <c r="H49" s="311">
        <f t="shared" si="5"/>
        <v>0</v>
      </c>
      <c r="I49" s="310"/>
      <c r="J49" s="310"/>
      <c r="K49" s="310"/>
      <c r="L49" s="310"/>
      <c r="M49" s="351"/>
    </row>
    <row r="50" s="288" customFormat="1" ht="11.25" spans="1:13">
      <c r="A50" s="336" t="s">
        <v>116</v>
      </c>
      <c r="B50" s="323"/>
      <c r="C50" s="306">
        <f t="shared" si="4"/>
        <v>0</v>
      </c>
      <c r="D50" s="339"/>
      <c r="E50" s="335"/>
      <c r="F50" s="332"/>
      <c r="G50" s="310"/>
      <c r="H50" s="311">
        <f t="shared" si="5"/>
        <v>0</v>
      </c>
      <c r="I50" s="310"/>
      <c r="J50" s="310"/>
      <c r="K50" s="310"/>
      <c r="L50" s="310"/>
      <c r="M50" s="351"/>
    </row>
    <row r="51" s="288" customFormat="1" ht="11.25" spans="1:13">
      <c r="A51" s="337" t="s">
        <v>117</v>
      </c>
      <c r="B51" s="323"/>
      <c r="C51" s="306">
        <f t="shared" si="4"/>
        <v>0</v>
      </c>
      <c r="D51" s="339"/>
      <c r="E51" s="335"/>
      <c r="F51" s="332"/>
      <c r="G51" s="310"/>
      <c r="H51" s="311">
        <f t="shared" si="5"/>
        <v>0</v>
      </c>
      <c r="I51" s="310"/>
      <c r="J51" s="310"/>
      <c r="K51" s="310"/>
      <c r="L51" s="310"/>
      <c r="M51" s="351"/>
    </row>
    <row r="52" s="288" customFormat="1" ht="11.25" spans="1:13">
      <c r="A52" s="340" t="s">
        <v>118</v>
      </c>
      <c r="B52" s="323"/>
      <c r="C52" s="306">
        <f t="shared" si="4"/>
        <v>0</v>
      </c>
      <c r="D52" s="339"/>
      <c r="E52" s="335"/>
      <c r="F52" s="332"/>
      <c r="G52" s="310"/>
      <c r="H52" s="311">
        <f t="shared" si="5"/>
        <v>0</v>
      </c>
      <c r="I52" s="310"/>
      <c r="J52" s="310"/>
      <c r="K52" s="310"/>
      <c r="L52" s="310"/>
      <c r="M52" s="351"/>
    </row>
    <row r="53" s="288" customFormat="1" ht="11.25" spans="1:13">
      <c r="A53" s="336" t="s">
        <v>119</v>
      </c>
      <c r="B53" s="323">
        <v>58</v>
      </c>
      <c r="C53" s="306">
        <f t="shared" si="4"/>
        <v>542.94</v>
      </c>
      <c r="D53" s="339">
        <v>484.94</v>
      </c>
      <c r="E53" s="335"/>
      <c r="F53" s="332"/>
      <c r="G53" s="310"/>
      <c r="H53" s="311">
        <f t="shared" si="5"/>
        <v>0</v>
      </c>
      <c r="I53" s="310"/>
      <c r="J53" s="310"/>
      <c r="K53" s="310"/>
      <c r="L53" s="310"/>
      <c r="M53" s="351"/>
    </row>
    <row r="54" s="288" customFormat="1" ht="11.25" spans="1:13">
      <c r="A54" s="341" t="s">
        <v>120</v>
      </c>
      <c r="B54" s="323"/>
      <c r="C54" s="306">
        <f t="shared" si="4"/>
        <v>0</v>
      </c>
      <c r="D54" s="339"/>
      <c r="E54" s="335"/>
      <c r="F54" s="332"/>
      <c r="G54" s="310"/>
      <c r="H54" s="311">
        <f t="shared" si="5"/>
        <v>0</v>
      </c>
      <c r="I54" s="310"/>
      <c r="J54" s="310"/>
      <c r="K54" s="310"/>
      <c r="L54" s="310"/>
      <c r="M54" s="351"/>
    </row>
    <row r="55" s="288" customFormat="1" ht="11.25" spans="1:13">
      <c r="A55" s="340" t="s">
        <v>121</v>
      </c>
      <c r="B55" s="323"/>
      <c r="C55" s="306">
        <f t="shared" si="4"/>
        <v>12</v>
      </c>
      <c r="D55" s="324">
        <v>12</v>
      </c>
      <c r="E55" s="335"/>
      <c r="F55" s="332"/>
      <c r="G55" s="310"/>
      <c r="H55" s="311">
        <f t="shared" si="5"/>
        <v>0</v>
      </c>
      <c r="I55" s="310"/>
      <c r="J55" s="310"/>
      <c r="K55" s="310"/>
      <c r="L55" s="310"/>
      <c r="M55" s="351"/>
    </row>
    <row r="56" s="288" customFormat="1" ht="11.25" spans="1:13">
      <c r="A56" s="337" t="s">
        <v>122</v>
      </c>
      <c r="B56" s="323"/>
      <c r="C56" s="306">
        <f t="shared" si="4"/>
        <v>0</v>
      </c>
      <c r="D56" s="324"/>
      <c r="E56" s="335"/>
      <c r="F56" s="332"/>
      <c r="G56" s="310"/>
      <c r="H56" s="311">
        <f t="shared" si="5"/>
        <v>0</v>
      </c>
      <c r="I56" s="310"/>
      <c r="J56" s="310"/>
      <c r="K56" s="310"/>
      <c r="L56" s="310"/>
      <c r="M56" s="351"/>
    </row>
    <row r="57" s="288" customFormat="1" ht="11.25" spans="1:13">
      <c r="A57" s="343" t="s">
        <v>123</v>
      </c>
      <c r="B57" s="323"/>
      <c r="C57" s="306">
        <f t="shared" si="4"/>
        <v>-78</v>
      </c>
      <c r="D57" s="324">
        <v>-78</v>
      </c>
      <c r="E57" s="335"/>
      <c r="F57" s="332"/>
      <c r="G57" s="310"/>
      <c r="H57" s="311">
        <f t="shared" si="5"/>
        <v>0</v>
      </c>
      <c r="I57" s="310"/>
      <c r="J57" s="310"/>
      <c r="K57" s="310"/>
      <c r="L57" s="310"/>
      <c r="M57" s="351"/>
    </row>
    <row r="58" s="288" customFormat="1" ht="11.25" spans="1:13">
      <c r="A58" s="344" t="s">
        <v>124</v>
      </c>
      <c r="B58" s="323"/>
      <c r="C58" s="306">
        <f t="shared" si="4"/>
        <v>0</v>
      </c>
      <c r="D58" s="324"/>
      <c r="E58" s="335"/>
      <c r="F58" s="332"/>
      <c r="G58" s="310"/>
      <c r="H58" s="311">
        <f t="shared" si="5"/>
        <v>0</v>
      </c>
      <c r="I58" s="310"/>
      <c r="J58" s="310"/>
      <c r="K58" s="310"/>
      <c r="L58" s="310"/>
      <c r="M58" s="351"/>
    </row>
    <row r="59" s="288" customFormat="1" ht="11.25" spans="1:13">
      <c r="A59" s="345" t="s">
        <v>125</v>
      </c>
      <c r="B59" s="323"/>
      <c r="C59" s="306">
        <f t="shared" si="4"/>
        <v>427</v>
      </c>
      <c r="D59" s="324">
        <v>427</v>
      </c>
      <c r="E59" s="335"/>
      <c r="F59" s="332"/>
      <c r="G59" s="310"/>
      <c r="H59" s="311">
        <f t="shared" si="5"/>
        <v>0</v>
      </c>
      <c r="I59" s="310"/>
      <c r="J59" s="310"/>
      <c r="K59" s="310"/>
      <c r="L59" s="310"/>
      <c r="M59" s="351"/>
    </row>
    <row r="60" s="288" customFormat="1" ht="11.25" spans="1:13">
      <c r="A60" s="346" t="s">
        <v>126</v>
      </c>
      <c r="B60" s="323">
        <v>386</v>
      </c>
      <c r="C60" s="306">
        <f t="shared" ref="C60:C67" si="6">B60+D60</f>
        <v>407.53</v>
      </c>
      <c r="D60" s="339">
        <f>11.53+10</f>
        <v>21.53</v>
      </c>
      <c r="E60" s="335"/>
      <c r="F60" s="332"/>
      <c r="G60" s="310"/>
      <c r="H60" s="311">
        <f t="shared" si="5"/>
        <v>0</v>
      </c>
      <c r="I60" s="310"/>
      <c r="J60" s="310"/>
      <c r="K60" s="310"/>
      <c r="L60" s="310"/>
      <c r="M60" s="351"/>
    </row>
    <row r="61" s="288" customFormat="1" ht="11.25" spans="1:13">
      <c r="A61" s="347" t="s">
        <v>127</v>
      </c>
      <c r="B61" s="332">
        <f>SUM(B62:B82)</f>
        <v>6661</v>
      </c>
      <c r="C61" s="306">
        <f t="shared" si="6"/>
        <v>16481.25</v>
      </c>
      <c r="D61" s="348">
        <f>SUM(D62:D82)</f>
        <v>9820.25</v>
      </c>
      <c r="E61" s="338"/>
      <c r="F61" s="332"/>
      <c r="G61" s="310"/>
      <c r="H61" s="311">
        <f t="shared" si="5"/>
        <v>0</v>
      </c>
      <c r="I61" s="310"/>
      <c r="J61" s="310"/>
      <c r="K61" s="310"/>
      <c r="L61" s="310"/>
      <c r="M61" s="351"/>
    </row>
    <row r="62" s="288" customFormat="1" ht="11.25" spans="1:13">
      <c r="A62" s="328" t="s">
        <v>128</v>
      </c>
      <c r="B62" s="323">
        <v>59</v>
      </c>
      <c r="C62" s="306">
        <f t="shared" si="6"/>
        <v>136</v>
      </c>
      <c r="D62" s="339">
        <v>77</v>
      </c>
      <c r="E62" s="349" t="s">
        <v>129</v>
      </c>
      <c r="F62" s="332"/>
      <c r="G62" s="310"/>
      <c r="H62" s="311">
        <f t="shared" si="5"/>
        <v>0</v>
      </c>
      <c r="I62" s="310"/>
      <c r="J62" s="310"/>
      <c r="K62" s="310"/>
      <c r="L62" s="310"/>
      <c r="M62" s="351"/>
    </row>
    <row r="63" s="288" customFormat="1" ht="11.25" spans="1:13">
      <c r="A63" s="328" t="s">
        <v>130</v>
      </c>
      <c r="B63" s="323"/>
      <c r="C63" s="306">
        <f t="shared" si="6"/>
        <v>0</v>
      </c>
      <c r="D63" s="339"/>
      <c r="E63" s="349" t="s">
        <v>129</v>
      </c>
      <c r="F63" s="332"/>
      <c r="G63" s="310"/>
      <c r="H63" s="311">
        <f t="shared" si="5"/>
        <v>0</v>
      </c>
      <c r="I63" s="310"/>
      <c r="J63" s="310"/>
      <c r="K63" s="310"/>
      <c r="L63" s="310"/>
      <c r="M63" s="351"/>
    </row>
    <row r="64" s="288" customFormat="1" ht="11.25" spans="1:13">
      <c r="A64" s="328" t="s">
        <v>131</v>
      </c>
      <c r="B64" s="323"/>
      <c r="C64" s="306">
        <f t="shared" si="6"/>
        <v>0</v>
      </c>
      <c r="D64" s="350"/>
      <c r="E64" s="319" t="s">
        <v>129</v>
      </c>
      <c r="F64" s="317"/>
      <c r="G64" s="310"/>
      <c r="H64" s="311">
        <f t="shared" si="5"/>
        <v>0</v>
      </c>
      <c r="I64" s="310"/>
      <c r="J64" s="310"/>
      <c r="K64" s="310"/>
      <c r="L64" s="310"/>
      <c r="M64" s="351"/>
    </row>
    <row r="65" s="288" customFormat="1" ht="11.25" spans="1:13">
      <c r="A65" s="328" t="s">
        <v>132</v>
      </c>
      <c r="B65" s="323"/>
      <c r="C65" s="306">
        <f t="shared" si="6"/>
        <v>0</v>
      </c>
      <c r="D65" s="350"/>
      <c r="E65" s="319" t="s">
        <v>129</v>
      </c>
      <c r="F65" s="317"/>
      <c r="G65" s="310"/>
      <c r="H65" s="311">
        <f t="shared" si="5"/>
        <v>0</v>
      </c>
      <c r="I65" s="310"/>
      <c r="J65" s="310"/>
      <c r="K65" s="310"/>
      <c r="L65" s="310"/>
      <c r="M65" s="351"/>
    </row>
    <row r="66" s="288" customFormat="1" ht="11.25" spans="1:13">
      <c r="A66" s="328" t="s">
        <v>133</v>
      </c>
      <c r="B66" s="323"/>
      <c r="C66" s="306">
        <f t="shared" si="6"/>
        <v>0</v>
      </c>
      <c r="D66" s="350"/>
      <c r="E66" s="319" t="s">
        <v>129</v>
      </c>
      <c r="F66" s="317"/>
      <c r="G66" s="310"/>
      <c r="H66" s="311">
        <f t="shared" si="5"/>
        <v>0</v>
      </c>
      <c r="I66" s="310"/>
      <c r="J66" s="310"/>
      <c r="K66" s="310"/>
      <c r="L66" s="310"/>
      <c r="M66" s="351"/>
    </row>
    <row r="67" s="288" customFormat="1" ht="11.25" spans="1:13">
      <c r="A67" s="328" t="s">
        <v>134</v>
      </c>
      <c r="B67" s="323"/>
      <c r="C67" s="306">
        <f t="shared" si="6"/>
        <v>10</v>
      </c>
      <c r="D67" s="350">
        <v>10</v>
      </c>
      <c r="E67" s="319" t="s">
        <v>129</v>
      </c>
      <c r="F67" s="317"/>
      <c r="G67" s="310"/>
      <c r="H67" s="311">
        <f t="shared" si="5"/>
        <v>0</v>
      </c>
      <c r="I67" s="310"/>
      <c r="J67" s="310"/>
      <c r="K67" s="310"/>
      <c r="L67" s="310"/>
      <c r="M67" s="351"/>
    </row>
    <row r="68" s="288" customFormat="1" ht="11.25" spans="1:13">
      <c r="A68" s="328" t="s">
        <v>135</v>
      </c>
      <c r="B68" s="323"/>
      <c r="C68" s="306">
        <f t="shared" ref="C68:C91" si="7">B68+D68</f>
        <v>2000</v>
      </c>
      <c r="D68" s="350">
        <v>2000</v>
      </c>
      <c r="E68" s="319" t="s">
        <v>129</v>
      </c>
      <c r="F68" s="317"/>
      <c r="G68" s="310"/>
      <c r="H68" s="311">
        <f t="shared" si="5"/>
        <v>0</v>
      </c>
      <c r="I68" s="310"/>
      <c r="J68" s="310"/>
      <c r="K68" s="310"/>
      <c r="L68" s="310"/>
      <c r="M68" s="351"/>
    </row>
    <row r="69" s="288" customFormat="1" ht="11.25" spans="1:13">
      <c r="A69" s="328" t="s">
        <v>136</v>
      </c>
      <c r="B69" s="323">
        <v>227</v>
      </c>
      <c r="C69" s="306">
        <f t="shared" si="7"/>
        <v>238</v>
      </c>
      <c r="D69" s="350">
        <v>11</v>
      </c>
      <c r="E69" s="319" t="s">
        <v>129</v>
      </c>
      <c r="F69" s="317"/>
      <c r="G69" s="310"/>
      <c r="H69" s="311">
        <f t="shared" si="5"/>
        <v>0</v>
      </c>
      <c r="I69" s="310"/>
      <c r="J69" s="310"/>
      <c r="K69" s="310"/>
      <c r="L69" s="310"/>
      <c r="M69" s="351"/>
    </row>
    <row r="70" s="288" customFormat="1" ht="11.25" spans="1:13">
      <c r="A70" s="328" t="s">
        <v>137</v>
      </c>
      <c r="B70" s="323">
        <v>274</v>
      </c>
      <c r="C70" s="306">
        <f t="shared" si="7"/>
        <v>314.5</v>
      </c>
      <c r="D70" s="350">
        <v>40.5</v>
      </c>
      <c r="E70" s="319" t="s">
        <v>129</v>
      </c>
      <c r="F70" s="317"/>
      <c r="G70" s="310"/>
      <c r="H70" s="311">
        <f t="shared" si="5"/>
        <v>0</v>
      </c>
      <c r="I70" s="310"/>
      <c r="J70" s="310"/>
      <c r="K70" s="310"/>
      <c r="L70" s="310"/>
      <c r="M70" s="351"/>
    </row>
    <row r="71" s="288" customFormat="1" ht="11.25" spans="1:13">
      <c r="A71" s="328" t="s">
        <v>138</v>
      </c>
      <c r="B71" s="323">
        <v>36</v>
      </c>
      <c r="C71" s="306">
        <f t="shared" si="7"/>
        <v>61</v>
      </c>
      <c r="D71" s="350">
        <v>25</v>
      </c>
      <c r="E71" s="319" t="s">
        <v>129</v>
      </c>
      <c r="F71" s="317"/>
      <c r="G71" s="310"/>
      <c r="H71" s="311">
        <f t="shared" si="5"/>
        <v>0</v>
      </c>
      <c r="I71" s="310"/>
      <c r="J71" s="310"/>
      <c r="K71" s="310"/>
      <c r="L71" s="310"/>
      <c r="M71" s="351"/>
    </row>
    <row r="72" s="288" customFormat="1" ht="11.25" spans="1:13">
      <c r="A72" s="328" t="s">
        <v>139</v>
      </c>
      <c r="B72" s="323"/>
      <c r="C72" s="306">
        <f t="shared" si="7"/>
        <v>1122.4</v>
      </c>
      <c r="D72" s="350">
        <v>1122.4</v>
      </c>
      <c r="E72" s="319" t="s">
        <v>129</v>
      </c>
      <c r="F72" s="317"/>
      <c r="G72" s="310"/>
      <c r="H72" s="311">
        <f t="shared" si="5"/>
        <v>0</v>
      </c>
      <c r="I72" s="310"/>
      <c r="J72" s="310"/>
      <c r="K72" s="310"/>
      <c r="L72" s="310"/>
      <c r="M72" s="351"/>
    </row>
    <row r="73" s="288" customFormat="1" ht="11.25" spans="1:13">
      <c r="A73" s="328" t="s">
        <v>140</v>
      </c>
      <c r="B73" s="323">
        <v>4537</v>
      </c>
      <c r="C73" s="306">
        <f t="shared" si="7"/>
        <v>9239.5</v>
      </c>
      <c r="D73" s="350">
        <f>3785.5+536+400-19</f>
        <v>4702.5</v>
      </c>
      <c r="E73" s="319" t="s">
        <v>129</v>
      </c>
      <c r="F73" s="317"/>
      <c r="G73" s="310"/>
      <c r="H73" s="311">
        <f t="shared" si="5"/>
        <v>0</v>
      </c>
      <c r="I73" s="310"/>
      <c r="J73" s="310"/>
      <c r="K73" s="310"/>
      <c r="L73" s="310"/>
      <c r="M73" s="351"/>
    </row>
    <row r="74" s="288" customFormat="1" ht="11.25" spans="1:13">
      <c r="A74" s="328" t="s">
        <v>141</v>
      </c>
      <c r="B74" s="323"/>
      <c r="C74" s="306">
        <f t="shared" si="7"/>
        <v>103.91</v>
      </c>
      <c r="D74" s="350">
        <v>103.91</v>
      </c>
      <c r="E74" s="319" t="s">
        <v>129</v>
      </c>
      <c r="F74" s="317"/>
      <c r="G74" s="310"/>
      <c r="H74" s="311">
        <f t="shared" si="5"/>
        <v>0</v>
      </c>
      <c r="I74" s="310"/>
      <c r="J74" s="310"/>
      <c r="K74" s="310"/>
      <c r="L74" s="310"/>
      <c r="M74" s="351"/>
    </row>
    <row r="75" s="288" customFormat="1" ht="11.25" spans="1:13">
      <c r="A75" s="328" t="s">
        <v>142</v>
      </c>
      <c r="B75" s="323"/>
      <c r="C75" s="306">
        <f t="shared" si="7"/>
        <v>30.4</v>
      </c>
      <c r="D75" s="350">
        <f>0.4+30</f>
        <v>30.4</v>
      </c>
      <c r="E75" s="319" t="s">
        <v>129</v>
      </c>
      <c r="F75" s="317"/>
      <c r="G75" s="310"/>
      <c r="H75" s="311">
        <f t="shared" ref="H75:H92" si="8">I75+J75+K75+L75</f>
        <v>0</v>
      </c>
      <c r="I75" s="310"/>
      <c r="J75" s="310"/>
      <c r="K75" s="310"/>
      <c r="L75" s="310"/>
      <c r="M75" s="351"/>
    </row>
    <row r="76" s="288" customFormat="1" ht="11.25" spans="1:13">
      <c r="A76" s="328" t="s">
        <v>143</v>
      </c>
      <c r="B76" s="323"/>
      <c r="C76" s="306">
        <f t="shared" si="7"/>
        <v>280</v>
      </c>
      <c r="D76" s="350">
        <v>280</v>
      </c>
      <c r="E76" s="319" t="s">
        <v>129</v>
      </c>
      <c r="F76" s="317"/>
      <c r="G76" s="310"/>
      <c r="H76" s="311">
        <f t="shared" si="8"/>
        <v>0</v>
      </c>
      <c r="I76" s="310"/>
      <c r="J76" s="310"/>
      <c r="K76" s="310"/>
      <c r="L76" s="310"/>
      <c r="M76" s="351"/>
    </row>
    <row r="77" s="288" customFormat="1" ht="11.25" spans="1:13">
      <c r="A77" s="328" t="s">
        <v>144</v>
      </c>
      <c r="B77" s="323"/>
      <c r="C77" s="306">
        <f t="shared" si="7"/>
        <v>828.64</v>
      </c>
      <c r="D77" s="350">
        <f>630.29+198.35</f>
        <v>828.64</v>
      </c>
      <c r="E77" s="319" t="s">
        <v>129</v>
      </c>
      <c r="F77" s="317"/>
      <c r="G77" s="310"/>
      <c r="H77" s="311">
        <f t="shared" si="8"/>
        <v>0</v>
      </c>
      <c r="I77" s="310"/>
      <c r="J77" s="310"/>
      <c r="K77" s="310"/>
      <c r="L77" s="310"/>
      <c r="M77" s="351"/>
    </row>
    <row r="78" s="288" customFormat="1" ht="11.25" spans="1:13">
      <c r="A78" s="328" t="s">
        <v>145</v>
      </c>
      <c r="B78" s="323">
        <v>218</v>
      </c>
      <c r="C78" s="306">
        <f t="shared" si="7"/>
        <v>438</v>
      </c>
      <c r="D78" s="350">
        <v>220</v>
      </c>
      <c r="E78" s="349" t="s">
        <v>129</v>
      </c>
      <c r="F78" s="332"/>
      <c r="G78" s="310"/>
      <c r="H78" s="311">
        <f t="shared" si="8"/>
        <v>0</v>
      </c>
      <c r="I78" s="310"/>
      <c r="J78" s="310"/>
      <c r="K78" s="310"/>
      <c r="L78" s="310"/>
      <c r="M78" s="351"/>
    </row>
    <row r="79" s="288" customFormat="1" ht="11.25" spans="1:13">
      <c r="A79" s="328" t="s">
        <v>146</v>
      </c>
      <c r="B79" s="323"/>
      <c r="C79" s="306">
        <f t="shared" si="7"/>
        <v>0</v>
      </c>
      <c r="D79" s="350"/>
      <c r="E79" s="349" t="s">
        <v>129</v>
      </c>
      <c r="F79" s="332"/>
      <c r="G79" s="310"/>
      <c r="H79" s="311">
        <f t="shared" si="8"/>
        <v>0</v>
      </c>
      <c r="I79" s="310"/>
      <c r="J79" s="310"/>
      <c r="K79" s="310"/>
      <c r="L79" s="310"/>
      <c r="M79" s="351"/>
    </row>
    <row r="80" s="288" customFormat="1" ht="11.25" spans="1:13">
      <c r="A80" s="328" t="s">
        <v>147</v>
      </c>
      <c r="B80" s="332">
        <v>1</v>
      </c>
      <c r="C80" s="306">
        <f t="shared" si="7"/>
        <v>1</v>
      </c>
      <c r="D80" s="353"/>
      <c r="E80" s="349" t="s">
        <v>129</v>
      </c>
      <c r="F80" s="332"/>
      <c r="G80" s="310"/>
      <c r="H80" s="311">
        <f t="shared" si="8"/>
        <v>0</v>
      </c>
      <c r="I80" s="310"/>
      <c r="J80" s="310"/>
      <c r="K80" s="310"/>
      <c r="L80" s="310"/>
      <c r="M80" s="351"/>
    </row>
    <row r="81" s="288" customFormat="1" ht="11.25" spans="1:13">
      <c r="A81" s="354" t="s">
        <v>148</v>
      </c>
      <c r="B81" s="332">
        <v>1309</v>
      </c>
      <c r="C81" s="306">
        <f t="shared" si="7"/>
        <v>1577.9</v>
      </c>
      <c r="D81" s="353">
        <f>175.3+60+33.6</f>
        <v>268.9</v>
      </c>
      <c r="E81" s="349"/>
      <c r="F81" s="332"/>
      <c r="G81" s="310"/>
      <c r="H81" s="311">
        <f t="shared" si="8"/>
        <v>0</v>
      </c>
      <c r="I81" s="310"/>
      <c r="J81" s="310"/>
      <c r="K81" s="310"/>
      <c r="L81" s="310"/>
      <c r="M81" s="351"/>
    </row>
    <row r="82" s="288" customFormat="1" ht="11.25" spans="1:13">
      <c r="A82" s="355" t="s">
        <v>149</v>
      </c>
      <c r="B82" s="356"/>
      <c r="C82" s="306">
        <f t="shared" si="7"/>
        <v>100</v>
      </c>
      <c r="D82" s="357">
        <v>100</v>
      </c>
      <c r="E82" s="349" t="s">
        <v>129</v>
      </c>
      <c r="F82" s="332"/>
      <c r="G82" s="310"/>
      <c r="H82" s="311">
        <f t="shared" si="8"/>
        <v>0</v>
      </c>
      <c r="I82" s="310"/>
      <c r="J82" s="310"/>
      <c r="K82" s="310"/>
      <c r="L82" s="310"/>
      <c r="M82" s="351"/>
    </row>
    <row r="83" s="288" customFormat="1" ht="11.25" spans="1:13">
      <c r="A83" s="312" t="s">
        <v>150</v>
      </c>
      <c r="B83" s="317">
        <v>21671</v>
      </c>
      <c r="C83" s="306">
        <f t="shared" si="7"/>
        <v>21671</v>
      </c>
      <c r="D83" s="358"/>
      <c r="E83" s="319"/>
      <c r="F83" s="332"/>
      <c r="G83" s="310"/>
      <c r="H83" s="311">
        <f t="shared" si="8"/>
        <v>0</v>
      </c>
      <c r="I83" s="310"/>
      <c r="J83" s="310"/>
      <c r="K83" s="310"/>
      <c r="L83" s="310"/>
      <c r="M83" s="351"/>
    </row>
    <row r="84" s="288" customFormat="1" ht="11.25" spans="1:13">
      <c r="A84" s="312" t="s">
        <v>151</v>
      </c>
      <c r="B84" s="317">
        <v>29934</v>
      </c>
      <c r="C84" s="306">
        <f t="shared" si="7"/>
        <v>23819</v>
      </c>
      <c r="D84" s="358">
        <f>SUM(D85:D88)</f>
        <v>-6115</v>
      </c>
      <c r="E84" s="359"/>
      <c r="F84" s="317"/>
      <c r="G84" s="310"/>
      <c r="H84" s="311">
        <f t="shared" si="8"/>
        <v>0</v>
      </c>
      <c r="I84" s="310"/>
      <c r="J84" s="310"/>
      <c r="K84" s="310"/>
      <c r="L84" s="310"/>
      <c r="M84" s="351"/>
    </row>
    <row r="85" s="288" customFormat="1" ht="11.25" spans="1:13">
      <c r="A85" s="319" t="s">
        <v>152</v>
      </c>
      <c r="B85" s="317">
        <v>15134</v>
      </c>
      <c r="C85" s="306">
        <f t="shared" si="7"/>
        <v>15134</v>
      </c>
      <c r="D85" s="358"/>
      <c r="E85" s="359"/>
      <c r="F85" s="317"/>
      <c r="G85" s="310"/>
      <c r="H85" s="311">
        <f t="shared" si="8"/>
        <v>0</v>
      </c>
      <c r="I85" s="310"/>
      <c r="J85" s="310"/>
      <c r="K85" s="310"/>
      <c r="L85" s="310"/>
      <c r="M85" s="351"/>
    </row>
    <row r="86" s="288" customFormat="1" ht="11.25" spans="1:13">
      <c r="A86" s="319" t="s">
        <v>153</v>
      </c>
      <c r="B86" s="317">
        <v>14800</v>
      </c>
      <c r="C86" s="306">
        <f t="shared" si="7"/>
        <v>8185</v>
      </c>
      <c r="D86" s="358">
        <v>-6615</v>
      </c>
      <c r="E86" s="359"/>
      <c r="F86" s="317"/>
      <c r="G86" s="310"/>
      <c r="H86" s="311">
        <f t="shared" si="8"/>
        <v>0</v>
      </c>
      <c r="I86" s="310"/>
      <c r="J86" s="310"/>
      <c r="K86" s="310"/>
      <c r="L86" s="310"/>
      <c r="M86" s="351"/>
    </row>
    <row r="87" s="288" customFormat="1" ht="11.25" spans="1:13">
      <c r="A87" s="319" t="s">
        <v>154</v>
      </c>
      <c r="B87" s="317"/>
      <c r="C87" s="306">
        <f t="shared" si="7"/>
        <v>0</v>
      </c>
      <c r="D87" s="358"/>
      <c r="E87" s="319"/>
      <c r="F87" s="317"/>
      <c r="G87" s="310"/>
      <c r="H87" s="311">
        <f t="shared" si="8"/>
        <v>0</v>
      </c>
      <c r="I87" s="310"/>
      <c r="J87" s="310"/>
      <c r="K87" s="310"/>
      <c r="L87" s="310"/>
      <c r="M87" s="351"/>
    </row>
    <row r="88" s="288" customFormat="1" ht="11.25" spans="1:13">
      <c r="A88" s="319" t="s">
        <v>155</v>
      </c>
      <c r="B88" s="317"/>
      <c r="C88" s="306">
        <f t="shared" si="7"/>
        <v>500</v>
      </c>
      <c r="D88" s="358">
        <v>500</v>
      </c>
      <c r="E88" s="360"/>
      <c r="F88" s="317"/>
      <c r="G88" s="310"/>
      <c r="H88" s="311">
        <f t="shared" si="8"/>
        <v>0</v>
      </c>
      <c r="I88" s="310"/>
      <c r="J88" s="310"/>
      <c r="K88" s="310"/>
      <c r="L88" s="310"/>
      <c r="M88" s="351"/>
    </row>
    <row r="89" s="289" customFormat="1" ht="11.25" spans="1:13">
      <c r="A89" s="361" t="s">
        <v>156</v>
      </c>
      <c r="B89" s="317"/>
      <c r="C89" s="306">
        <f t="shared" si="7"/>
        <v>0</v>
      </c>
      <c r="D89" s="358"/>
      <c r="E89" s="360"/>
      <c r="F89" s="317"/>
      <c r="G89" s="362"/>
      <c r="H89" s="311">
        <f t="shared" si="8"/>
        <v>0</v>
      </c>
      <c r="I89" s="362"/>
      <c r="J89" s="362"/>
      <c r="K89" s="362"/>
      <c r="L89" s="362"/>
      <c r="M89" s="367"/>
    </row>
    <row r="90" s="288" customFormat="1" ht="11.25" spans="1:13">
      <c r="A90" s="312" t="s">
        <v>157</v>
      </c>
      <c r="B90" s="317">
        <v>21300</v>
      </c>
      <c r="C90" s="306">
        <f t="shared" si="7"/>
        <v>42431.41</v>
      </c>
      <c r="D90" s="358">
        <f>5787+3826.29+884+2350+150+96+2800+84.12+5154</f>
        <v>21131.41</v>
      </c>
      <c r="E90" s="359"/>
      <c r="F90" s="317"/>
      <c r="G90" s="310"/>
      <c r="H90" s="311">
        <f t="shared" si="8"/>
        <v>0</v>
      </c>
      <c r="I90" s="310"/>
      <c r="J90" s="310"/>
      <c r="K90" s="310"/>
      <c r="L90" s="310"/>
      <c r="M90" s="351"/>
    </row>
    <row r="91" s="288" customFormat="1" ht="11.25" spans="1:13">
      <c r="A91" s="312" t="s">
        <v>158</v>
      </c>
      <c r="B91" s="317"/>
      <c r="C91" s="306">
        <f t="shared" si="7"/>
        <v>0</v>
      </c>
      <c r="D91" s="322"/>
      <c r="E91" s="319" t="s">
        <v>129</v>
      </c>
      <c r="F91" s="317"/>
      <c r="G91" s="310"/>
      <c r="H91" s="311">
        <f t="shared" si="8"/>
        <v>0</v>
      </c>
      <c r="I91" s="310"/>
      <c r="J91" s="310"/>
      <c r="K91" s="310"/>
      <c r="L91" s="310"/>
      <c r="M91" s="351"/>
    </row>
    <row r="92" s="288" customFormat="1" ht="11.25" spans="1:13">
      <c r="A92" s="319"/>
      <c r="B92" s="317"/>
      <c r="C92" s="306"/>
      <c r="D92" s="322"/>
      <c r="E92" s="359"/>
      <c r="F92" s="317"/>
      <c r="G92" s="310"/>
      <c r="H92" s="311">
        <f t="shared" si="8"/>
        <v>0</v>
      </c>
      <c r="I92" s="310"/>
      <c r="J92" s="310"/>
      <c r="K92" s="310"/>
      <c r="L92" s="310"/>
      <c r="M92" s="351"/>
    </row>
    <row r="93" s="288" customFormat="1" ht="11.25" spans="1:13">
      <c r="A93" s="198" t="s">
        <v>159</v>
      </c>
      <c r="B93" s="356">
        <f>B7+B8</f>
        <v>230514</v>
      </c>
      <c r="C93" s="363">
        <f>C7+C8</f>
        <v>286102.01</v>
      </c>
      <c r="D93" s="363">
        <f>D7+D8</f>
        <v>55588.01</v>
      </c>
      <c r="E93" s="198" t="s">
        <v>160</v>
      </c>
      <c r="F93" s="356">
        <f t="shared" ref="F93:L93" si="9">F33+F32</f>
        <v>230514</v>
      </c>
      <c r="G93" s="363">
        <f t="shared" si="9"/>
        <v>286102.01</v>
      </c>
      <c r="H93" s="363">
        <f t="shared" si="9"/>
        <v>55588.01</v>
      </c>
      <c r="I93" s="363">
        <f t="shared" si="9"/>
        <v>21131.41</v>
      </c>
      <c r="J93" s="363">
        <f t="shared" si="9"/>
        <v>9820.25</v>
      </c>
      <c r="K93" s="363">
        <f t="shared" si="9"/>
        <v>23304.84</v>
      </c>
      <c r="L93" s="363">
        <f t="shared" si="9"/>
        <v>1331.51</v>
      </c>
      <c r="M93" s="351"/>
    </row>
    <row r="94" s="288" customFormat="1" ht="11.25" spans="1:13">
      <c r="A94" s="364"/>
      <c r="C94" s="365"/>
      <c r="D94" s="365"/>
      <c r="G94" s="365"/>
      <c r="H94" s="366"/>
      <c r="I94" s="365"/>
      <c r="J94" s="365"/>
      <c r="K94" s="365"/>
      <c r="L94" s="365"/>
      <c r="M94" s="368"/>
    </row>
    <row r="95" s="288" customFormat="1" ht="11.25" spans="1:13">
      <c r="A95" s="364"/>
      <c r="C95" s="365"/>
      <c r="D95" s="365"/>
      <c r="G95" s="365"/>
      <c r="H95" s="366"/>
      <c r="I95" s="365"/>
      <c r="J95" s="365"/>
      <c r="K95" s="365"/>
      <c r="L95" s="365"/>
      <c r="M95" s="368"/>
    </row>
  </sheetData>
  <mergeCells count="14">
    <mergeCell ref="A2:M2"/>
    <mergeCell ref="A3:E3"/>
    <mergeCell ref="F3:J3"/>
    <mergeCell ref="A4:D4"/>
    <mergeCell ref="E4:L4"/>
    <mergeCell ref="H5:L5"/>
    <mergeCell ref="A5:A6"/>
    <mergeCell ref="B5:B6"/>
    <mergeCell ref="C5:C6"/>
    <mergeCell ref="D5:D6"/>
    <mergeCell ref="E5:E6"/>
    <mergeCell ref="F5:F6"/>
    <mergeCell ref="G5:G6"/>
    <mergeCell ref="M4:M6"/>
  </mergeCells>
  <pageMargins left="0.0784722222222222" right="0.118055555555556" top="0.588888888888889" bottom="0.409027777777778" header="0.313888888888889" footer="0.313888888888889"/>
  <pageSetup paperSize="9" orientation="landscape"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D14" sqref="D14"/>
    </sheetView>
  </sheetViews>
  <sheetFormatPr defaultColWidth="8" defaultRowHeight="13.5" outlineLevelCol="7"/>
  <cols>
    <col min="1" max="1" width="22.75" style="31" customWidth="1"/>
    <col min="2" max="2" width="15.875" style="31" customWidth="1"/>
    <col min="3" max="3" width="13.375" style="31" customWidth="1"/>
    <col min="4" max="4" width="17.5" style="31" customWidth="1"/>
    <col min="5" max="5" width="18.75" style="31" customWidth="1"/>
    <col min="6" max="6" width="15.25" style="31" customWidth="1"/>
    <col min="7" max="7" width="13.5" style="31" customWidth="1"/>
    <col min="8" max="8" width="14.375" style="31" customWidth="1"/>
    <col min="9" max="16384" width="8" style="30"/>
  </cols>
  <sheetData>
    <row r="1" ht="14.25" spans="1:1">
      <c r="A1" s="3" t="s">
        <v>480</v>
      </c>
    </row>
    <row r="2" s="30" customFormat="1" ht="20.25" spans="1:8">
      <c r="A2" s="4" t="s">
        <v>481</v>
      </c>
      <c r="B2" s="4"/>
      <c r="C2" s="4"/>
      <c r="D2" s="4"/>
      <c r="E2" s="6"/>
      <c r="F2" s="4"/>
      <c r="G2" s="4"/>
      <c r="H2" s="4"/>
    </row>
    <row r="3" s="30" customFormat="1" ht="15.75" customHeight="1" spans="1:8">
      <c r="A3" s="32"/>
      <c r="B3" s="32"/>
      <c r="C3" s="32"/>
      <c r="D3" s="33"/>
      <c r="E3" s="34"/>
      <c r="F3" s="32"/>
      <c r="G3" s="32"/>
      <c r="H3" s="11" t="s">
        <v>482</v>
      </c>
    </row>
    <row r="4" s="30" customFormat="1" ht="15.75" customHeight="1" spans="1:8">
      <c r="A4" s="35" t="s">
        <v>201</v>
      </c>
      <c r="B4" s="36"/>
      <c r="C4" s="35"/>
      <c r="D4" s="37"/>
      <c r="E4" s="38"/>
      <c r="F4" s="35"/>
      <c r="G4" s="35"/>
      <c r="H4" s="17" t="s">
        <v>483</v>
      </c>
    </row>
    <row r="5" s="30" customFormat="1" ht="18" customHeight="1" spans="1:8">
      <c r="A5" s="39" t="s">
        <v>484</v>
      </c>
      <c r="B5" s="40" t="s">
        <v>485</v>
      </c>
      <c r="C5" s="39" t="s">
        <v>486</v>
      </c>
      <c r="D5" s="39" t="s">
        <v>487</v>
      </c>
      <c r="E5" s="39" t="s">
        <v>8</v>
      </c>
      <c r="F5" s="39" t="s">
        <v>485</v>
      </c>
      <c r="G5" s="39" t="s">
        <v>486</v>
      </c>
      <c r="H5" s="39" t="s">
        <v>487</v>
      </c>
    </row>
    <row r="6" s="30" customFormat="1" ht="18" customHeight="1" spans="1:8">
      <c r="A6" s="41" t="s">
        <v>488</v>
      </c>
      <c r="B6" s="42">
        <v>93883960.96</v>
      </c>
      <c r="C6" s="43">
        <v>5000000</v>
      </c>
      <c r="D6" s="44">
        <f t="shared" ref="D6:D17" si="0">B6+C6</f>
        <v>98883960.96</v>
      </c>
      <c r="E6" s="45" t="s">
        <v>489</v>
      </c>
      <c r="F6" s="42">
        <v>180805760.96</v>
      </c>
      <c r="G6" s="43">
        <v>2000000</v>
      </c>
      <c r="H6" s="42">
        <f t="shared" ref="H6:H8" si="1">F6+G6</f>
        <v>182805760.96</v>
      </c>
    </row>
    <row r="7" s="30" customFormat="1" ht="18" customHeight="1" spans="1:8">
      <c r="A7" s="41" t="s">
        <v>490</v>
      </c>
      <c r="B7" s="42">
        <v>93758125.82</v>
      </c>
      <c r="C7" s="43">
        <v>4000000</v>
      </c>
      <c r="D7" s="44">
        <f t="shared" si="0"/>
        <v>97758125.82</v>
      </c>
      <c r="E7" s="45" t="s">
        <v>491</v>
      </c>
      <c r="F7" s="42">
        <v>30000</v>
      </c>
      <c r="G7" s="43">
        <v>670000</v>
      </c>
      <c r="H7" s="42">
        <f t="shared" si="1"/>
        <v>700000</v>
      </c>
    </row>
    <row r="8" s="30" customFormat="1" ht="18" customHeight="1" spans="1:8">
      <c r="A8" s="41" t="s">
        <v>492</v>
      </c>
      <c r="B8" s="42">
        <v>87141800</v>
      </c>
      <c r="C8" s="43">
        <v>0</v>
      </c>
      <c r="D8" s="44">
        <f t="shared" si="0"/>
        <v>87141800</v>
      </c>
      <c r="E8" s="45" t="s">
        <v>493</v>
      </c>
      <c r="F8" s="42">
        <v>0</v>
      </c>
      <c r="G8" s="43">
        <v>0</v>
      </c>
      <c r="H8" s="42">
        <f t="shared" si="1"/>
        <v>0</v>
      </c>
    </row>
    <row r="9" s="30" customFormat="1" ht="18" customHeight="1" spans="1:8">
      <c r="A9" s="41" t="s">
        <v>494</v>
      </c>
      <c r="B9" s="42">
        <v>67941800</v>
      </c>
      <c r="C9" s="43">
        <v>0</v>
      </c>
      <c r="D9" s="42">
        <f t="shared" si="0"/>
        <v>67941800</v>
      </c>
      <c r="E9" s="46" t="s">
        <v>495</v>
      </c>
      <c r="F9" s="46" t="s">
        <v>495</v>
      </c>
      <c r="G9" s="46" t="s">
        <v>495</v>
      </c>
      <c r="H9" s="46" t="s">
        <v>495</v>
      </c>
    </row>
    <row r="10" s="30" customFormat="1" ht="18" customHeight="1" spans="1:8">
      <c r="A10" s="41" t="s">
        <v>496</v>
      </c>
      <c r="B10" s="42">
        <v>200000</v>
      </c>
      <c r="C10" s="43">
        <v>0</v>
      </c>
      <c r="D10" s="42">
        <f t="shared" si="0"/>
        <v>200000</v>
      </c>
      <c r="E10" s="46" t="s">
        <v>495</v>
      </c>
      <c r="F10" s="46" t="s">
        <v>495</v>
      </c>
      <c r="G10" s="46" t="s">
        <v>495</v>
      </c>
      <c r="H10" s="46" t="s">
        <v>495</v>
      </c>
    </row>
    <row r="11" s="30" customFormat="1" ht="18" customHeight="1" spans="1:8">
      <c r="A11" s="41" t="s">
        <v>497</v>
      </c>
      <c r="B11" s="42">
        <v>260000</v>
      </c>
      <c r="C11" s="43">
        <v>520000</v>
      </c>
      <c r="D11" s="42">
        <f t="shared" si="0"/>
        <v>780000</v>
      </c>
      <c r="E11" s="46" t="s">
        <v>495</v>
      </c>
      <c r="F11" s="46" t="s">
        <v>495</v>
      </c>
      <c r="G11" s="46" t="s">
        <v>495</v>
      </c>
      <c r="H11" s="46" t="s">
        <v>495</v>
      </c>
    </row>
    <row r="12" s="30" customFormat="1" ht="18" customHeight="1" spans="1:8">
      <c r="A12" s="41" t="s">
        <v>498</v>
      </c>
      <c r="B12" s="42">
        <v>0</v>
      </c>
      <c r="C12" s="43">
        <v>0</v>
      </c>
      <c r="D12" s="42">
        <f t="shared" si="0"/>
        <v>0</v>
      </c>
      <c r="E12" s="46" t="s">
        <v>495</v>
      </c>
      <c r="F12" s="46" t="s">
        <v>495</v>
      </c>
      <c r="G12" s="46" t="s">
        <v>495</v>
      </c>
      <c r="H12" s="46" t="s">
        <v>495</v>
      </c>
    </row>
    <row r="13" s="30" customFormat="1" ht="18" customHeight="1" spans="1:8">
      <c r="A13" s="41" t="s">
        <v>499</v>
      </c>
      <c r="B13" s="42">
        <v>0</v>
      </c>
      <c r="C13" s="43">
        <v>0</v>
      </c>
      <c r="D13" s="42">
        <f t="shared" si="0"/>
        <v>0</v>
      </c>
      <c r="E13" s="46" t="s">
        <v>495</v>
      </c>
      <c r="F13" s="46" t="s">
        <v>495</v>
      </c>
      <c r="G13" s="46" t="s">
        <v>495</v>
      </c>
      <c r="H13" s="46" t="s">
        <v>495</v>
      </c>
    </row>
    <row r="14" s="30" customFormat="1" ht="18" customHeight="1" spans="1:8">
      <c r="A14" s="41" t="s">
        <v>500</v>
      </c>
      <c r="B14" s="42">
        <v>181485760.96</v>
      </c>
      <c r="C14" s="43">
        <f>C6+C8+C10+C11+C12</f>
        <v>5520000</v>
      </c>
      <c r="D14" s="44">
        <f t="shared" si="0"/>
        <v>187005760.96</v>
      </c>
      <c r="E14" s="45" t="s">
        <v>501</v>
      </c>
      <c r="F14" s="43">
        <v>180835760.96</v>
      </c>
      <c r="G14" s="43">
        <f>G6+G7+G8</f>
        <v>2670000</v>
      </c>
      <c r="H14" s="43">
        <f t="shared" ref="H14:H20" si="2">F14+G14</f>
        <v>183505760.96</v>
      </c>
    </row>
    <row r="15" s="30" customFormat="1" ht="18" customHeight="1" spans="1:8">
      <c r="A15" s="41" t="s">
        <v>502</v>
      </c>
      <c r="B15" s="42">
        <v>0</v>
      </c>
      <c r="C15" s="43">
        <v>0</v>
      </c>
      <c r="D15" s="44">
        <f t="shared" si="0"/>
        <v>0</v>
      </c>
      <c r="E15" s="45" t="s">
        <v>503</v>
      </c>
      <c r="F15" s="42">
        <v>0</v>
      </c>
      <c r="G15" s="43">
        <v>0</v>
      </c>
      <c r="H15" s="42">
        <f t="shared" si="2"/>
        <v>0</v>
      </c>
    </row>
    <row r="16" s="30" customFormat="1" ht="18" customHeight="1" spans="1:8">
      <c r="A16" s="41" t="s">
        <v>504</v>
      </c>
      <c r="B16" s="42">
        <v>0</v>
      </c>
      <c r="C16" s="43">
        <v>0</v>
      </c>
      <c r="D16" s="44">
        <f t="shared" si="0"/>
        <v>0</v>
      </c>
      <c r="E16" s="45" t="s">
        <v>505</v>
      </c>
      <c r="F16" s="42">
        <v>0</v>
      </c>
      <c r="G16" s="43">
        <v>0</v>
      </c>
      <c r="H16" s="42">
        <f t="shared" si="2"/>
        <v>0</v>
      </c>
    </row>
    <row r="17" s="30" customFormat="1" ht="18" customHeight="1" spans="1:8">
      <c r="A17" s="41" t="s">
        <v>506</v>
      </c>
      <c r="B17" s="42">
        <v>181485760.96</v>
      </c>
      <c r="C17" s="43">
        <f>C14+C15+C16</f>
        <v>5520000</v>
      </c>
      <c r="D17" s="44">
        <f t="shared" si="0"/>
        <v>187005760.96</v>
      </c>
      <c r="E17" s="45" t="s">
        <v>507</v>
      </c>
      <c r="F17" s="43">
        <v>180835760.96</v>
      </c>
      <c r="G17" s="43">
        <f>G14+G15+G16</f>
        <v>2670000</v>
      </c>
      <c r="H17" s="43">
        <f t="shared" si="2"/>
        <v>183505760.96</v>
      </c>
    </row>
    <row r="18" s="30" customFormat="1" ht="18" customHeight="1" spans="1:8">
      <c r="A18" s="47" t="s">
        <v>495</v>
      </c>
      <c r="B18" s="46" t="s">
        <v>495</v>
      </c>
      <c r="C18" s="46" t="s">
        <v>495</v>
      </c>
      <c r="D18" s="48" t="s">
        <v>495</v>
      </c>
      <c r="E18" s="45" t="s">
        <v>508</v>
      </c>
      <c r="F18" s="43">
        <v>650000</v>
      </c>
      <c r="G18" s="43">
        <f>C17-G17</f>
        <v>2850000</v>
      </c>
      <c r="H18" s="43">
        <f t="shared" si="2"/>
        <v>3500000</v>
      </c>
    </row>
    <row r="19" s="30" customFormat="1" ht="18" customHeight="1" spans="1:8">
      <c r="A19" s="41" t="s">
        <v>509</v>
      </c>
      <c r="B19" s="42">
        <v>7090074.67</v>
      </c>
      <c r="C19" s="43">
        <v>0</v>
      </c>
      <c r="D19" s="44">
        <f>B19+C19</f>
        <v>7090074.67</v>
      </c>
      <c r="E19" s="45" t="s">
        <v>510</v>
      </c>
      <c r="F19" s="42">
        <f>B19+F18</f>
        <v>7740074.67</v>
      </c>
      <c r="G19" s="42">
        <f>C19+G18</f>
        <v>2850000</v>
      </c>
      <c r="H19" s="42">
        <f t="shared" si="2"/>
        <v>10590074.67</v>
      </c>
    </row>
    <row r="20" s="30" customFormat="1" ht="18" customHeight="1" spans="1:8">
      <c r="A20" s="39" t="s">
        <v>511</v>
      </c>
      <c r="B20" s="42">
        <f t="shared" ref="B20:G20" si="3">B17+B19</f>
        <v>188575835.63</v>
      </c>
      <c r="C20" s="43">
        <f t="shared" si="3"/>
        <v>5520000</v>
      </c>
      <c r="D20" s="44">
        <f>B20+C20</f>
        <v>194095835.63</v>
      </c>
      <c r="E20" s="49" t="s">
        <v>511</v>
      </c>
      <c r="F20" s="42">
        <f t="shared" si="3"/>
        <v>188575835.63</v>
      </c>
      <c r="G20" s="42">
        <f t="shared" si="3"/>
        <v>5520000</v>
      </c>
      <c r="H20" s="42">
        <f t="shared" si="2"/>
        <v>194095835.63</v>
      </c>
    </row>
    <row r="21" s="30" customFormat="1" ht="29.25" customHeight="1" spans="1:8">
      <c r="A21" s="50"/>
      <c r="B21" s="50"/>
      <c r="C21" s="50"/>
      <c r="D21" s="50"/>
      <c r="E21" s="51"/>
      <c r="F21" s="50"/>
      <c r="G21" s="50"/>
      <c r="H21" s="52"/>
    </row>
  </sheetData>
  <mergeCells count="1">
    <mergeCell ref="A2:H2"/>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B14" sqref="B14"/>
    </sheetView>
  </sheetViews>
  <sheetFormatPr defaultColWidth="8" defaultRowHeight="13.5" outlineLevelCol="7"/>
  <cols>
    <col min="1" max="1" width="26.5" style="2" customWidth="1"/>
    <col min="2" max="2" width="16.75" style="2" customWidth="1"/>
    <col min="3" max="3" width="15" style="2" customWidth="1"/>
    <col min="4" max="4" width="16.875" style="2" customWidth="1"/>
    <col min="5" max="5" width="19.875" style="2" customWidth="1"/>
    <col min="6" max="6" width="16.625" style="2" customWidth="1"/>
    <col min="7" max="7" width="15.625" style="2" customWidth="1"/>
    <col min="8" max="8" width="16.75" style="2" customWidth="1"/>
    <col min="9" max="16384" width="8" style="1"/>
  </cols>
  <sheetData>
    <row r="1" ht="14.25" spans="1:1">
      <c r="A1" s="3" t="s">
        <v>512</v>
      </c>
    </row>
    <row r="2" s="1" customFormat="1" ht="20.25" spans="1:8">
      <c r="A2" s="4" t="s">
        <v>513</v>
      </c>
      <c r="B2" s="5"/>
      <c r="C2" s="4"/>
      <c r="D2" s="4"/>
      <c r="E2" s="6"/>
      <c r="F2" s="4"/>
      <c r="G2" s="4"/>
      <c r="H2" s="4"/>
    </row>
    <row r="3" s="1" customFormat="1" ht="18.75" customHeight="1" spans="1:8">
      <c r="A3" s="7"/>
      <c r="B3" s="8"/>
      <c r="C3" s="7"/>
      <c r="D3" s="7"/>
      <c r="E3" s="9"/>
      <c r="F3" s="7"/>
      <c r="G3" s="10"/>
      <c r="H3" s="11" t="s">
        <v>514</v>
      </c>
    </row>
    <row r="4" s="1" customFormat="1" ht="18.75" customHeight="1" spans="1:8">
      <c r="A4" s="12" t="s">
        <v>201</v>
      </c>
      <c r="B4" s="13"/>
      <c r="C4" s="12"/>
      <c r="D4" s="12"/>
      <c r="E4" s="14"/>
      <c r="F4" s="15"/>
      <c r="G4" s="16"/>
      <c r="H4" s="17" t="s">
        <v>483</v>
      </c>
    </row>
    <row r="5" s="1" customFormat="1" ht="27.75" customHeight="1" spans="1:8">
      <c r="A5" s="18" t="s">
        <v>515</v>
      </c>
      <c r="B5" s="18" t="s">
        <v>485</v>
      </c>
      <c r="C5" s="18" t="s">
        <v>486</v>
      </c>
      <c r="D5" s="18" t="s">
        <v>487</v>
      </c>
      <c r="E5" s="18" t="s">
        <v>515</v>
      </c>
      <c r="F5" s="18" t="s">
        <v>485</v>
      </c>
      <c r="G5" s="18" t="s">
        <v>486</v>
      </c>
      <c r="H5" s="18" t="s">
        <v>487</v>
      </c>
    </row>
    <row r="6" s="1" customFormat="1" ht="18" customHeight="1" spans="1:8">
      <c r="A6" s="19" t="s">
        <v>516</v>
      </c>
      <c r="B6" s="20">
        <v>12224800</v>
      </c>
      <c r="C6" s="20">
        <v>495200</v>
      </c>
      <c r="D6" s="20">
        <f t="shared" ref="D6:D19" si="0">B6+C6</f>
        <v>12720000</v>
      </c>
      <c r="E6" s="19" t="s">
        <v>517</v>
      </c>
      <c r="F6" s="20">
        <v>47418277.92</v>
      </c>
      <c r="G6" s="20">
        <v>0</v>
      </c>
      <c r="H6" s="20">
        <f t="shared" ref="H6:H10" si="1">F6+G6</f>
        <v>47418277.92</v>
      </c>
    </row>
    <row r="7" s="1" customFormat="1" ht="18" customHeight="1" spans="1:8">
      <c r="A7" s="21" t="s">
        <v>518</v>
      </c>
      <c r="B7" s="20">
        <v>1486500</v>
      </c>
      <c r="C7" s="20">
        <v>420000</v>
      </c>
      <c r="D7" s="20">
        <f t="shared" si="0"/>
        <v>1906500</v>
      </c>
      <c r="E7" s="22" t="s">
        <v>519</v>
      </c>
      <c r="F7" s="20">
        <v>1911399.24</v>
      </c>
      <c r="G7" s="20">
        <v>655930.76</v>
      </c>
      <c r="H7" s="20">
        <f t="shared" si="1"/>
        <v>2567330</v>
      </c>
    </row>
    <row r="8" s="1" customFormat="1" ht="18" customHeight="1" spans="1:8">
      <c r="A8" s="19" t="s">
        <v>492</v>
      </c>
      <c r="B8" s="20">
        <v>50218272</v>
      </c>
      <c r="C8" s="20">
        <v>-3800000</v>
      </c>
      <c r="D8" s="20">
        <f t="shared" si="0"/>
        <v>46418272</v>
      </c>
      <c r="E8" s="19" t="s">
        <v>520</v>
      </c>
      <c r="F8" s="20">
        <v>890000</v>
      </c>
      <c r="G8" s="20">
        <v>-252400</v>
      </c>
      <c r="H8" s="20">
        <f t="shared" si="1"/>
        <v>637600</v>
      </c>
    </row>
    <row r="9" s="1" customFormat="1" ht="18" customHeight="1" spans="1:8">
      <c r="A9" s="22" t="s">
        <v>521</v>
      </c>
      <c r="B9" s="20">
        <v>47562927</v>
      </c>
      <c r="C9" s="20">
        <v>-3800000</v>
      </c>
      <c r="D9" s="20">
        <f t="shared" si="0"/>
        <v>43762927</v>
      </c>
      <c r="E9" s="19" t="s">
        <v>522</v>
      </c>
      <c r="F9" s="20">
        <v>18000</v>
      </c>
      <c r="G9" s="20">
        <v>0</v>
      </c>
      <c r="H9" s="20">
        <f t="shared" si="1"/>
        <v>18000</v>
      </c>
    </row>
    <row r="10" s="1" customFormat="1" ht="18" customHeight="1" spans="1:8">
      <c r="A10" s="22" t="s">
        <v>523</v>
      </c>
      <c r="B10" s="20">
        <v>1773345</v>
      </c>
      <c r="C10" s="20">
        <v>0</v>
      </c>
      <c r="D10" s="20">
        <f t="shared" si="0"/>
        <v>1773345</v>
      </c>
      <c r="E10" s="23" t="s">
        <v>524</v>
      </c>
      <c r="F10" s="20">
        <v>0</v>
      </c>
      <c r="G10" s="20">
        <v>0</v>
      </c>
      <c r="H10" s="20">
        <f t="shared" si="1"/>
        <v>0</v>
      </c>
    </row>
    <row r="11" s="1" customFormat="1" ht="18" customHeight="1" spans="1:8">
      <c r="A11" s="19" t="s">
        <v>525</v>
      </c>
      <c r="B11" s="20">
        <v>0</v>
      </c>
      <c r="C11" s="20">
        <v>0</v>
      </c>
      <c r="D11" s="20">
        <f t="shared" si="0"/>
        <v>0</v>
      </c>
      <c r="E11" s="24" t="s">
        <v>495</v>
      </c>
      <c r="F11" s="24" t="s">
        <v>495</v>
      </c>
      <c r="G11" s="24" t="s">
        <v>495</v>
      </c>
      <c r="H11" s="24" t="s">
        <v>495</v>
      </c>
    </row>
    <row r="12" s="1" customFormat="1" ht="18" customHeight="1" spans="1:8">
      <c r="A12" s="19" t="s">
        <v>526</v>
      </c>
      <c r="B12" s="20">
        <v>475659.32</v>
      </c>
      <c r="C12" s="20">
        <v>0</v>
      </c>
      <c r="D12" s="20">
        <f t="shared" si="0"/>
        <v>475659.32</v>
      </c>
      <c r="E12" s="24" t="s">
        <v>495</v>
      </c>
      <c r="F12" s="24" t="s">
        <v>495</v>
      </c>
      <c r="G12" s="24" t="s">
        <v>495</v>
      </c>
      <c r="H12" s="24" t="s">
        <v>495</v>
      </c>
    </row>
    <row r="13" s="1" customFormat="1" ht="18" customHeight="1" spans="1:8">
      <c r="A13" s="19" t="s">
        <v>527</v>
      </c>
      <c r="B13" s="20">
        <v>3176829.19</v>
      </c>
      <c r="C13" s="20">
        <v>0</v>
      </c>
      <c r="D13" s="20">
        <f t="shared" si="0"/>
        <v>3176829.19</v>
      </c>
      <c r="E13" s="24" t="s">
        <v>495</v>
      </c>
      <c r="F13" s="24" t="s">
        <v>495</v>
      </c>
      <c r="G13" s="24" t="s">
        <v>495</v>
      </c>
      <c r="H13" s="24" t="s">
        <v>495</v>
      </c>
    </row>
    <row r="14" s="1" customFormat="1" ht="18" customHeight="1" spans="1:8">
      <c r="A14" s="19" t="s">
        <v>528</v>
      </c>
      <c r="B14" s="20">
        <v>53000</v>
      </c>
      <c r="C14" s="20">
        <v>0</v>
      </c>
      <c r="D14" s="20">
        <f t="shared" si="0"/>
        <v>53000</v>
      </c>
      <c r="E14" s="24" t="s">
        <v>495</v>
      </c>
      <c r="F14" s="24" t="s">
        <v>495</v>
      </c>
      <c r="G14" s="24" t="s">
        <v>495</v>
      </c>
      <c r="H14" s="24" t="s">
        <v>495</v>
      </c>
    </row>
    <row r="15" s="1" customFormat="1" ht="18" customHeight="1" spans="1:8">
      <c r="A15" s="19" t="s">
        <v>529</v>
      </c>
      <c r="B15" s="20">
        <v>96500</v>
      </c>
      <c r="C15" s="20">
        <v>0</v>
      </c>
      <c r="D15" s="20">
        <f t="shared" si="0"/>
        <v>96500</v>
      </c>
      <c r="E15" s="24" t="s">
        <v>495</v>
      </c>
      <c r="F15" s="24" t="s">
        <v>495</v>
      </c>
      <c r="G15" s="24" t="s">
        <v>495</v>
      </c>
      <c r="H15" s="24" t="s">
        <v>495</v>
      </c>
    </row>
    <row r="16" s="1" customFormat="1" ht="18" customHeight="1" spans="1:8">
      <c r="A16" s="19" t="s">
        <v>530</v>
      </c>
      <c r="B16" s="20">
        <v>66245060.51</v>
      </c>
      <c r="C16" s="20">
        <f>C6+C8+C11+C12+C13+C14+C15</f>
        <v>-3304800</v>
      </c>
      <c r="D16" s="20">
        <f t="shared" si="0"/>
        <v>62940260.51</v>
      </c>
      <c r="E16" s="19" t="s">
        <v>531</v>
      </c>
      <c r="F16" s="20">
        <v>50237677.16</v>
      </c>
      <c r="G16" s="20">
        <f>G6+G7+G8+G9+G10</f>
        <v>403530.76</v>
      </c>
      <c r="H16" s="20">
        <f t="shared" ref="H16:H22" si="2">F16+G16</f>
        <v>50641207.92</v>
      </c>
    </row>
    <row r="17" s="1" customFormat="1" ht="18" customHeight="1" spans="1:8">
      <c r="A17" s="19" t="s">
        <v>532</v>
      </c>
      <c r="B17" s="20">
        <v>0</v>
      </c>
      <c r="C17" s="20">
        <v>0</v>
      </c>
      <c r="D17" s="20">
        <f t="shared" si="0"/>
        <v>0</v>
      </c>
      <c r="E17" s="19" t="s">
        <v>533</v>
      </c>
      <c r="F17" s="20">
        <v>0</v>
      </c>
      <c r="G17" s="20">
        <v>0</v>
      </c>
      <c r="H17" s="20">
        <f t="shared" si="2"/>
        <v>0</v>
      </c>
    </row>
    <row r="18" s="1" customFormat="1" ht="18" customHeight="1" spans="1:8">
      <c r="A18" s="19" t="s">
        <v>534</v>
      </c>
      <c r="B18" s="20">
        <v>0</v>
      </c>
      <c r="C18" s="20">
        <v>0</v>
      </c>
      <c r="D18" s="20">
        <f t="shared" si="0"/>
        <v>0</v>
      </c>
      <c r="E18" s="19" t="s">
        <v>535</v>
      </c>
      <c r="F18" s="20">
        <v>0</v>
      </c>
      <c r="G18" s="20">
        <v>0</v>
      </c>
      <c r="H18" s="20">
        <f t="shared" si="2"/>
        <v>0</v>
      </c>
    </row>
    <row r="19" s="1" customFormat="1" ht="18" customHeight="1" spans="1:8">
      <c r="A19" s="19" t="s">
        <v>536</v>
      </c>
      <c r="B19" s="20">
        <v>66245060.51</v>
      </c>
      <c r="C19" s="20">
        <f>C16+C17+C18</f>
        <v>-3304800</v>
      </c>
      <c r="D19" s="20">
        <f t="shared" si="0"/>
        <v>62940260.51</v>
      </c>
      <c r="E19" s="19" t="s">
        <v>537</v>
      </c>
      <c r="F19" s="20">
        <v>50237677.16</v>
      </c>
      <c r="G19" s="20">
        <f>G16+G17+G18</f>
        <v>403530.76</v>
      </c>
      <c r="H19" s="20">
        <f t="shared" si="2"/>
        <v>50641207.92</v>
      </c>
    </row>
    <row r="20" s="1" customFormat="1" ht="18" customHeight="1" spans="1:8">
      <c r="A20" s="24" t="s">
        <v>495</v>
      </c>
      <c r="B20" s="24" t="s">
        <v>495</v>
      </c>
      <c r="C20" s="24" t="s">
        <v>495</v>
      </c>
      <c r="D20" s="24" t="s">
        <v>495</v>
      </c>
      <c r="E20" s="19" t="s">
        <v>538</v>
      </c>
      <c r="F20" s="20">
        <v>16007383.35</v>
      </c>
      <c r="G20" s="20">
        <f>C19-G19</f>
        <v>-3708330.76</v>
      </c>
      <c r="H20" s="20">
        <f t="shared" si="2"/>
        <v>12299052.59</v>
      </c>
    </row>
    <row r="21" s="1" customFormat="1" ht="18" customHeight="1" spans="1:8">
      <c r="A21" s="19" t="s">
        <v>539</v>
      </c>
      <c r="B21" s="20">
        <v>151643920.42</v>
      </c>
      <c r="C21" s="20">
        <v>0</v>
      </c>
      <c r="D21" s="20">
        <f>B21+C21</f>
        <v>151643920.42</v>
      </c>
      <c r="E21" s="19" t="s">
        <v>540</v>
      </c>
      <c r="F21" s="20">
        <f>B21+F20</f>
        <v>167651303.77</v>
      </c>
      <c r="G21" s="20">
        <f>C21+G20</f>
        <v>-3708330.76</v>
      </c>
      <c r="H21" s="20">
        <f t="shared" si="2"/>
        <v>163942973.01</v>
      </c>
    </row>
    <row r="22" s="1" customFormat="1" ht="18" customHeight="1" spans="1:8">
      <c r="A22" s="25" t="s">
        <v>511</v>
      </c>
      <c r="B22" s="20">
        <f t="shared" ref="B22:G22" si="3">B19+B21</f>
        <v>217888980.93</v>
      </c>
      <c r="C22" s="20">
        <f t="shared" si="3"/>
        <v>-3304800</v>
      </c>
      <c r="D22" s="20">
        <f>B22+C22</f>
        <v>214584180.93</v>
      </c>
      <c r="E22" s="25" t="s">
        <v>541</v>
      </c>
      <c r="F22" s="20">
        <f t="shared" si="3"/>
        <v>217888980.93</v>
      </c>
      <c r="G22" s="20">
        <f t="shared" si="3"/>
        <v>-3304800</v>
      </c>
      <c r="H22" s="20">
        <f t="shared" si="2"/>
        <v>214584180.93</v>
      </c>
    </row>
    <row r="23" s="1" customFormat="1" ht="29.25" customHeight="1" spans="1:8">
      <c r="A23" s="26"/>
      <c r="B23" s="27"/>
      <c r="C23" s="26"/>
      <c r="D23" s="26"/>
      <c r="E23" s="28"/>
      <c r="F23" s="26"/>
      <c r="G23" s="26"/>
      <c r="H23" s="29"/>
    </row>
  </sheetData>
  <mergeCells count="1">
    <mergeCell ref="A2:H2"/>
  </mergeCells>
  <pageMargins left="0.156944444444444" right="0.118055555555556" top="0.472222222222222" bottom="0.236111111111111" header="0.393055555555556" footer="0.196527777777778"/>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93" zoomScaleNormal="93" workbookViewId="0">
      <selection activeCell="D31" sqref="D31"/>
    </sheetView>
  </sheetViews>
  <sheetFormatPr defaultColWidth="9" defaultRowHeight="13.5" outlineLevelCol="4"/>
  <cols>
    <col min="1" max="1" width="5.24166666666667" customWidth="1"/>
    <col min="2" max="2" width="32.25" customWidth="1"/>
    <col min="3" max="3" width="17" customWidth="1"/>
    <col min="4" max="4" width="17.6" customWidth="1"/>
    <col min="5" max="5" width="12" customWidth="1"/>
  </cols>
  <sheetData>
    <row r="1" spans="2:3">
      <c r="B1" s="261" t="s">
        <v>161</v>
      </c>
      <c r="C1" s="261"/>
    </row>
    <row r="2" ht="20.25" spans="2:5">
      <c r="B2" s="262" t="s">
        <v>162</v>
      </c>
      <c r="C2" s="262"/>
      <c r="D2" s="262"/>
      <c r="E2" s="262"/>
    </row>
    <row r="3" ht="16" customHeight="1" spans="2:5">
      <c r="B3" s="193" t="s">
        <v>163</v>
      </c>
      <c r="C3" s="263" t="s">
        <v>3</v>
      </c>
      <c r="D3" s="263"/>
      <c r="E3" s="263" t="s">
        <v>4</v>
      </c>
    </row>
    <row r="4" ht="14.25" spans="1:5">
      <c r="A4" s="264" t="s">
        <v>164</v>
      </c>
      <c r="B4" s="265" t="s">
        <v>165</v>
      </c>
      <c r="C4" s="266" t="s">
        <v>9</v>
      </c>
      <c r="D4" s="267" t="s">
        <v>166</v>
      </c>
      <c r="E4" s="268" t="s">
        <v>11</v>
      </c>
    </row>
    <row r="5" ht="21" customHeight="1" spans="1:5">
      <c r="A5" s="264">
        <v>1</v>
      </c>
      <c r="B5" s="269" t="s">
        <v>167</v>
      </c>
      <c r="C5" s="270">
        <f>SUM(C6:C22)</f>
        <v>14503</v>
      </c>
      <c r="D5" s="270">
        <f>SUM(D6:D22)</f>
        <v>14800</v>
      </c>
      <c r="E5" s="271">
        <f t="shared" ref="E5:E20" si="0">D5-C5</f>
        <v>297</v>
      </c>
    </row>
    <row r="6" ht="21" customHeight="1" spans="1:5">
      <c r="A6" s="272">
        <v>2</v>
      </c>
      <c r="B6" s="273" t="s">
        <v>168</v>
      </c>
      <c r="C6" s="274">
        <v>7410</v>
      </c>
      <c r="D6" s="275">
        <f>7338+72-9</f>
        <v>7401</v>
      </c>
      <c r="E6" s="276">
        <f t="shared" si="0"/>
        <v>-9</v>
      </c>
    </row>
    <row r="7" ht="21" customHeight="1" spans="1:5">
      <c r="A7" s="272">
        <v>3</v>
      </c>
      <c r="B7" s="273" t="s">
        <v>169</v>
      </c>
      <c r="C7" s="274"/>
      <c r="D7" s="277"/>
      <c r="E7" s="276">
        <f t="shared" si="0"/>
        <v>0</v>
      </c>
    </row>
    <row r="8" ht="21" customHeight="1" spans="1:5">
      <c r="A8" s="272">
        <v>4</v>
      </c>
      <c r="B8" s="273" t="s">
        <v>170</v>
      </c>
      <c r="C8" s="274">
        <v>1057</v>
      </c>
      <c r="D8" s="277">
        <f>1600-10</f>
        <v>1590</v>
      </c>
      <c r="E8" s="276">
        <f t="shared" si="0"/>
        <v>533</v>
      </c>
    </row>
    <row r="9" ht="21" customHeight="1" spans="1:5">
      <c r="A9" s="272">
        <v>5</v>
      </c>
      <c r="B9" s="273" t="s">
        <v>171</v>
      </c>
      <c r="C9" s="274"/>
      <c r="D9" s="278"/>
      <c r="E9" s="276">
        <f t="shared" si="0"/>
        <v>0</v>
      </c>
    </row>
    <row r="10" ht="21" customHeight="1" spans="1:5">
      <c r="A10" s="272">
        <v>6</v>
      </c>
      <c r="B10" s="273" t="s">
        <v>172</v>
      </c>
      <c r="C10" s="274">
        <v>690</v>
      </c>
      <c r="D10" s="278">
        <f>690-10</f>
        <v>680</v>
      </c>
      <c r="E10" s="276">
        <f t="shared" si="0"/>
        <v>-10</v>
      </c>
    </row>
    <row r="11" ht="21" customHeight="1" spans="1:5">
      <c r="A11" s="272">
        <v>7</v>
      </c>
      <c r="B11" s="273" t="s">
        <v>173</v>
      </c>
      <c r="C11" s="274">
        <v>1343</v>
      </c>
      <c r="D11" s="278">
        <f>1343-13</f>
        <v>1330</v>
      </c>
      <c r="E11" s="276">
        <f t="shared" si="0"/>
        <v>-13</v>
      </c>
    </row>
    <row r="12" ht="21" customHeight="1" spans="1:5">
      <c r="A12" s="272">
        <v>8</v>
      </c>
      <c r="B12" s="273" t="s">
        <v>174</v>
      </c>
      <c r="C12" s="274">
        <v>1061</v>
      </c>
      <c r="D12" s="278">
        <v>1061</v>
      </c>
      <c r="E12" s="276">
        <f t="shared" si="0"/>
        <v>0</v>
      </c>
    </row>
    <row r="13" ht="21" customHeight="1" spans="1:5">
      <c r="A13" s="272">
        <v>9</v>
      </c>
      <c r="B13" s="273" t="s">
        <v>175</v>
      </c>
      <c r="C13" s="274">
        <v>565</v>
      </c>
      <c r="D13" s="278">
        <v>465</v>
      </c>
      <c r="E13" s="276">
        <f t="shared" si="0"/>
        <v>-100</v>
      </c>
    </row>
    <row r="14" ht="21" customHeight="1" spans="1:5">
      <c r="A14" s="272">
        <v>10</v>
      </c>
      <c r="B14" s="273" t="s">
        <v>176</v>
      </c>
      <c r="C14" s="274">
        <v>248</v>
      </c>
      <c r="D14" s="278">
        <v>200</v>
      </c>
      <c r="E14" s="276">
        <f t="shared" si="0"/>
        <v>-48</v>
      </c>
    </row>
    <row r="15" ht="21" customHeight="1" spans="1:5">
      <c r="A15" s="272">
        <v>11</v>
      </c>
      <c r="B15" s="273" t="s">
        <v>177</v>
      </c>
      <c r="C15" s="274">
        <v>198</v>
      </c>
      <c r="D15" s="278">
        <v>140</v>
      </c>
      <c r="E15" s="276">
        <f t="shared" si="0"/>
        <v>-58</v>
      </c>
    </row>
    <row r="16" ht="21" customHeight="1" spans="1:5">
      <c r="A16" s="272">
        <v>12</v>
      </c>
      <c r="B16" s="273" t="s">
        <v>178</v>
      </c>
      <c r="C16" s="274">
        <v>149</v>
      </c>
      <c r="D16" s="278">
        <v>160</v>
      </c>
      <c r="E16" s="276">
        <f t="shared" si="0"/>
        <v>11</v>
      </c>
    </row>
    <row r="17" ht="21" customHeight="1" spans="1:5">
      <c r="A17" s="272">
        <v>13</v>
      </c>
      <c r="B17" s="273" t="s">
        <v>179</v>
      </c>
      <c r="C17" s="274">
        <v>508</v>
      </c>
      <c r="D17" s="278">
        <v>508</v>
      </c>
      <c r="E17" s="276">
        <f t="shared" si="0"/>
        <v>0</v>
      </c>
    </row>
    <row r="18" ht="21" customHeight="1" spans="1:5">
      <c r="A18" s="272">
        <v>14</v>
      </c>
      <c r="B18" s="273" t="s">
        <v>180</v>
      </c>
      <c r="C18" s="274">
        <v>147</v>
      </c>
      <c r="D18" s="278">
        <v>650</v>
      </c>
      <c r="E18" s="276">
        <f t="shared" si="0"/>
        <v>503</v>
      </c>
    </row>
    <row r="19" ht="21" customHeight="1" spans="1:5">
      <c r="A19" s="272">
        <v>15</v>
      </c>
      <c r="B19" s="273" t="s">
        <v>181</v>
      </c>
      <c r="C19" s="274">
        <v>1120</v>
      </c>
      <c r="D19" s="278">
        <v>600</v>
      </c>
      <c r="E19" s="276">
        <f t="shared" si="0"/>
        <v>-520</v>
      </c>
    </row>
    <row r="20" ht="21" customHeight="1" spans="1:5">
      <c r="A20" s="272">
        <v>16</v>
      </c>
      <c r="B20" s="273" t="s">
        <v>182</v>
      </c>
      <c r="C20" s="274"/>
      <c r="D20" s="274"/>
      <c r="E20" s="276">
        <f t="shared" si="0"/>
        <v>0</v>
      </c>
    </row>
    <row r="21" ht="21" customHeight="1" spans="1:5">
      <c r="A21" s="272">
        <v>17</v>
      </c>
      <c r="B21" s="273" t="s">
        <v>183</v>
      </c>
      <c r="C21" s="274">
        <v>7</v>
      </c>
      <c r="D21" s="274">
        <v>15</v>
      </c>
      <c r="E21" s="276"/>
    </row>
    <row r="22" ht="21" customHeight="1" spans="1:5">
      <c r="A22" s="272">
        <v>18</v>
      </c>
      <c r="B22" s="273" t="s">
        <v>184</v>
      </c>
      <c r="C22" s="274"/>
      <c r="D22" s="274"/>
      <c r="E22" s="276">
        <f t="shared" ref="E22:E34" si="1">D22-C22</f>
        <v>0</v>
      </c>
    </row>
    <row r="23" ht="21" customHeight="1" spans="1:5">
      <c r="A23" s="264">
        <v>19</v>
      </c>
      <c r="B23" s="269" t="s">
        <v>185</v>
      </c>
      <c r="C23" s="270">
        <f>SUM(C24:C31)</f>
        <v>12953</v>
      </c>
      <c r="D23" s="270">
        <f>SUM(D24:D33)</f>
        <v>12656</v>
      </c>
      <c r="E23" s="271">
        <f t="shared" si="1"/>
        <v>-297</v>
      </c>
    </row>
    <row r="24" ht="21" customHeight="1" spans="1:5">
      <c r="A24" s="279">
        <v>20</v>
      </c>
      <c r="B24" s="273" t="s">
        <v>186</v>
      </c>
      <c r="C24" s="274">
        <v>1322</v>
      </c>
      <c r="D24" s="274">
        <f>1480+200</f>
        <v>1680</v>
      </c>
      <c r="E24" s="276">
        <f t="shared" si="1"/>
        <v>358</v>
      </c>
    </row>
    <row r="25" ht="21" customHeight="1" spans="1:5">
      <c r="A25" s="279">
        <v>21</v>
      </c>
      <c r="B25" s="273" t="s">
        <v>187</v>
      </c>
      <c r="C25" s="274">
        <v>1597</v>
      </c>
      <c r="D25" s="274">
        <v>1920</v>
      </c>
      <c r="E25" s="276">
        <f t="shared" si="1"/>
        <v>323</v>
      </c>
    </row>
    <row r="26" ht="21" customHeight="1" spans="1:5">
      <c r="A26" s="279">
        <v>22</v>
      </c>
      <c r="B26" s="273" t="s">
        <v>188</v>
      </c>
      <c r="C26" s="274">
        <v>2500</v>
      </c>
      <c r="D26" s="274">
        <v>3150</v>
      </c>
      <c r="E26" s="276">
        <f t="shared" si="1"/>
        <v>650</v>
      </c>
    </row>
    <row r="27" ht="21" customHeight="1" spans="1:5">
      <c r="A27" s="279">
        <v>23</v>
      </c>
      <c r="B27" s="273" t="s">
        <v>189</v>
      </c>
      <c r="C27" s="274">
        <v>1500</v>
      </c>
      <c r="D27" s="274">
        <v>1900</v>
      </c>
      <c r="E27" s="276">
        <f t="shared" si="1"/>
        <v>400</v>
      </c>
    </row>
    <row r="28" ht="21" customHeight="1" spans="1:5">
      <c r="A28" s="279">
        <v>24</v>
      </c>
      <c r="B28" s="273" t="s">
        <v>190</v>
      </c>
      <c r="C28" s="274">
        <v>3169</v>
      </c>
      <c r="D28" s="274">
        <f>2360+200</f>
        <v>2560</v>
      </c>
      <c r="E28" s="276">
        <f t="shared" si="1"/>
        <v>-609</v>
      </c>
    </row>
    <row r="29" ht="21" customHeight="1" spans="1:5">
      <c r="A29" s="279">
        <v>25</v>
      </c>
      <c r="B29" s="273" t="s">
        <v>191</v>
      </c>
      <c r="C29" s="274"/>
      <c r="D29" s="274"/>
      <c r="E29" s="276">
        <f t="shared" si="1"/>
        <v>0</v>
      </c>
    </row>
    <row r="30" ht="21" customHeight="1" spans="1:5">
      <c r="A30" s="279">
        <v>26</v>
      </c>
      <c r="B30" s="273" t="s">
        <v>192</v>
      </c>
      <c r="C30" s="274">
        <v>50</v>
      </c>
      <c r="D30" s="274">
        <v>30</v>
      </c>
      <c r="E30" s="276">
        <f t="shared" si="1"/>
        <v>-20</v>
      </c>
    </row>
    <row r="31" ht="21" customHeight="1" spans="1:5">
      <c r="A31" s="279">
        <v>27</v>
      </c>
      <c r="B31" s="273" t="s">
        <v>193</v>
      </c>
      <c r="C31" s="274">
        <v>2815</v>
      </c>
      <c r="D31" s="274">
        <f>1050+300+66</f>
        <v>1416</v>
      </c>
      <c r="E31" s="276">
        <f t="shared" si="1"/>
        <v>-1399</v>
      </c>
    </row>
    <row r="32" ht="21" customHeight="1" spans="1:5">
      <c r="A32" s="279">
        <v>28</v>
      </c>
      <c r="B32" s="273"/>
      <c r="C32" s="280"/>
      <c r="D32" s="276"/>
      <c r="E32" s="276">
        <f t="shared" si="1"/>
        <v>0</v>
      </c>
    </row>
    <row r="33" ht="21" customHeight="1" spans="1:5">
      <c r="A33" s="279">
        <v>29</v>
      </c>
      <c r="B33" s="281" t="s">
        <v>129</v>
      </c>
      <c r="C33" s="282"/>
      <c r="D33" s="283"/>
      <c r="E33" s="284">
        <f t="shared" si="1"/>
        <v>0</v>
      </c>
    </row>
    <row r="34" ht="21" customHeight="1" spans="1:5">
      <c r="A34" s="264">
        <v>30</v>
      </c>
      <c r="B34" s="285" t="s">
        <v>194</v>
      </c>
      <c r="C34" s="270">
        <f>C5+C23</f>
        <v>27456</v>
      </c>
      <c r="D34" s="270">
        <f>D5+D23</f>
        <v>27456</v>
      </c>
      <c r="E34" s="271">
        <f t="shared" si="1"/>
        <v>0</v>
      </c>
    </row>
  </sheetData>
  <mergeCells count="3">
    <mergeCell ref="B1:C1"/>
    <mergeCell ref="B2:E2"/>
    <mergeCell ref="C3:D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G29" sqref="G29"/>
    </sheetView>
  </sheetViews>
  <sheetFormatPr defaultColWidth="9" defaultRowHeight="13.5" outlineLevelCol="3"/>
  <cols>
    <col min="1" max="1" width="6.125" customWidth="1"/>
    <col min="2" max="2" width="28" style="228" customWidth="1"/>
    <col min="3" max="3" width="81.125" customWidth="1"/>
    <col min="4" max="4" width="12.875" customWidth="1"/>
  </cols>
  <sheetData>
    <row r="1" spans="1:4">
      <c r="A1" t="s">
        <v>195</v>
      </c>
      <c r="C1" s="105"/>
      <c r="D1" s="106"/>
    </row>
    <row r="2" ht="25.5" spans="1:4">
      <c r="A2" s="107" t="s">
        <v>196</v>
      </c>
      <c r="B2" s="251"/>
      <c r="C2" s="107"/>
      <c r="D2" s="108"/>
    </row>
    <row r="3" ht="28.5" spans="1:4">
      <c r="A3" s="232" t="s">
        <v>163</v>
      </c>
      <c r="B3" s="109"/>
      <c r="C3" s="110" t="s">
        <v>3</v>
      </c>
      <c r="D3" s="111" t="s">
        <v>197</v>
      </c>
    </row>
    <row r="4" ht="18.75" spans="1:4">
      <c r="A4" s="112" t="s">
        <v>164</v>
      </c>
      <c r="B4" s="252" t="s">
        <v>198</v>
      </c>
      <c r="C4" s="112" t="s">
        <v>199</v>
      </c>
      <c r="D4" s="113" t="s">
        <v>200</v>
      </c>
    </row>
    <row r="5" ht="14.25" spans="1:4">
      <c r="A5" s="114">
        <v>1</v>
      </c>
      <c r="B5" s="115" t="s">
        <v>201</v>
      </c>
      <c r="C5" s="116" t="s">
        <v>202</v>
      </c>
      <c r="D5" s="253">
        <v>400</v>
      </c>
    </row>
    <row r="6" ht="14.25" spans="1:4">
      <c r="A6" s="114">
        <v>2</v>
      </c>
      <c r="B6" s="115" t="s">
        <v>201</v>
      </c>
      <c r="C6" s="116" t="s">
        <v>203</v>
      </c>
      <c r="D6" s="253">
        <v>3200</v>
      </c>
    </row>
    <row r="7" ht="14.25" spans="1:4">
      <c r="A7" s="114">
        <v>3</v>
      </c>
      <c r="B7" s="115" t="s">
        <v>201</v>
      </c>
      <c r="C7" s="116" t="s">
        <v>204</v>
      </c>
      <c r="D7" s="253">
        <v>16700</v>
      </c>
    </row>
    <row r="8" ht="14.25" spans="1:4">
      <c r="A8" s="114">
        <v>4</v>
      </c>
      <c r="B8" s="115" t="s">
        <v>201</v>
      </c>
      <c r="C8" s="116" t="s">
        <v>205</v>
      </c>
      <c r="D8" s="253">
        <v>1000</v>
      </c>
    </row>
    <row r="9" ht="14.25" spans="1:4">
      <c r="A9" s="114">
        <v>5</v>
      </c>
      <c r="B9" s="115" t="s">
        <v>201</v>
      </c>
      <c r="C9" s="254" t="s">
        <v>206</v>
      </c>
      <c r="D9" s="255">
        <v>84.12</v>
      </c>
    </row>
    <row r="10" ht="14.25" spans="1:4">
      <c r="A10" s="114">
        <v>6</v>
      </c>
      <c r="B10" s="115" t="s">
        <v>201</v>
      </c>
      <c r="C10" s="254" t="s">
        <v>207</v>
      </c>
      <c r="D10" s="255">
        <v>5154</v>
      </c>
    </row>
    <row r="11" ht="14.25" spans="1:4">
      <c r="A11" s="114">
        <v>7</v>
      </c>
      <c r="B11" s="115"/>
      <c r="C11" s="256" t="s">
        <v>208</v>
      </c>
      <c r="D11" s="257">
        <f>SUM(D5:D10)</f>
        <v>26538.12</v>
      </c>
    </row>
    <row r="12" ht="14.25" spans="1:4">
      <c r="A12" s="114">
        <v>8</v>
      </c>
      <c r="B12" s="116" t="s">
        <v>209</v>
      </c>
      <c r="C12" s="116" t="s">
        <v>210</v>
      </c>
      <c r="D12" s="253">
        <v>5787</v>
      </c>
    </row>
    <row r="13" ht="14.25" spans="1:4">
      <c r="A13" s="114">
        <v>9</v>
      </c>
      <c r="B13" s="116" t="s">
        <v>211</v>
      </c>
      <c r="C13" s="116" t="s">
        <v>212</v>
      </c>
      <c r="D13" s="253">
        <v>426.29</v>
      </c>
    </row>
    <row r="14" ht="14.25" spans="1:4">
      <c r="A14" s="114">
        <v>10</v>
      </c>
      <c r="B14" s="116" t="s">
        <v>213</v>
      </c>
      <c r="C14" s="116" t="s">
        <v>214</v>
      </c>
      <c r="D14" s="253">
        <v>150</v>
      </c>
    </row>
    <row r="15" ht="14.25" spans="1:4">
      <c r="A15" s="114">
        <v>11</v>
      </c>
      <c r="B15" s="116" t="s">
        <v>215</v>
      </c>
      <c r="C15" s="116" t="s">
        <v>216</v>
      </c>
      <c r="D15" s="253">
        <v>2000</v>
      </c>
    </row>
    <row r="16" ht="14.25" spans="1:4">
      <c r="A16" s="114">
        <v>12</v>
      </c>
      <c r="B16" s="116" t="s">
        <v>217</v>
      </c>
      <c r="C16" s="116" t="s">
        <v>218</v>
      </c>
      <c r="D16" s="253">
        <v>78</v>
      </c>
    </row>
    <row r="17" ht="14.25" spans="1:4">
      <c r="A17" s="114">
        <v>13</v>
      </c>
      <c r="B17" s="116" t="s">
        <v>219</v>
      </c>
      <c r="C17" s="116" t="s">
        <v>220</v>
      </c>
      <c r="D17" s="253">
        <v>3000</v>
      </c>
    </row>
    <row r="18" ht="14.25" spans="1:4">
      <c r="A18" s="114">
        <v>14</v>
      </c>
      <c r="B18" s="116" t="s">
        <v>219</v>
      </c>
      <c r="C18" s="116" t="s">
        <v>221</v>
      </c>
      <c r="D18" s="253">
        <v>2000</v>
      </c>
    </row>
    <row r="19" ht="14.25" spans="1:4">
      <c r="A19" s="114">
        <v>15</v>
      </c>
      <c r="B19" s="116" t="s">
        <v>222</v>
      </c>
      <c r="C19" s="116" t="s">
        <v>223</v>
      </c>
      <c r="D19" s="253">
        <v>96</v>
      </c>
    </row>
    <row r="20" ht="14.25" spans="1:4">
      <c r="A20" s="114">
        <v>16</v>
      </c>
      <c r="B20" s="116" t="s">
        <v>217</v>
      </c>
      <c r="C20" s="116" t="s">
        <v>218</v>
      </c>
      <c r="D20" s="253">
        <v>6</v>
      </c>
    </row>
    <row r="21" ht="14.25" spans="1:4">
      <c r="A21" s="114">
        <v>17</v>
      </c>
      <c r="B21" s="116" t="s">
        <v>224</v>
      </c>
      <c r="C21" s="116" t="s">
        <v>225</v>
      </c>
      <c r="D21" s="253">
        <v>800</v>
      </c>
    </row>
    <row r="22" ht="14.25" spans="1:4">
      <c r="A22" s="114">
        <v>18</v>
      </c>
      <c r="B22" s="116" t="s">
        <v>226</v>
      </c>
      <c r="C22" s="116" t="s">
        <v>227</v>
      </c>
      <c r="D22" s="253">
        <v>800</v>
      </c>
    </row>
    <row r="23" ht="14.25" spans="1:4">
      <c r="A23" s="114">
        <v>19</v>
      </c>
      <c r="B23" s="116" t="s">
        <v>228</v>
      </c>
      <c r="C23" s="116" t="s">
        <v>229</v>
      </c>
      <c r="D23" s="253">
        <v>350</v>
      </c>
    </row>
    <row r="24" ht="14.25" spans="1:4">
      <c r="A24" s="114">
        <v>20</v>
      </c>
      <c r="B24" s="116" t="s">
        <v>230</v>
      </c>
      <c r="C24" s="116" t="s">
        <v>231</v>
      </c>
      <c r="D24" s="253">
        <v>400</v>
      </c>
    </row>
    <row r="25" ht="14.25" spans="1:4">
      <c r="A25" s="114">
        <v>21</v>
      </c>
      <c r="B25" s="116"/>
      <c r="C25" s="116"/>
      <c r="D25" s="253"/>
    </row>
    <row r="26" ht="14.25" spans="1:4">
      <c r="A26" s="114">
        <v>22</v>
      </c>
      <c r="B26" s="258"/>
      <c r="C26" s="119" t="s">
        <v>232</v>
      </c>
      <c r="D26" s="255">
        <f>SUM(D12:D25)</f>
        <v>15893.29</v>
      </c>
    </row>
    <row r="27" ht="14.25" spans="1:4">
      <c r="A27" s="114">
        <v>23</v>
      </c>
      <c r="B27" s="124"/>
      <c r="C27" s="124"/>
      <c r="D27" s="255"/>
    </row>
    <row r="28" ht="14.25" spans="1:4">
      <c r="A28" s="80"/>
      <c r="B28" s="259" t="s">
        <v>233</v>
      </c>
      <c r="C28" s="127"/>
      <c r="D28" s="260">
        <f>+D26+D11</f>
        <v>42431.41</v>
      </c>
    </row>
  </sheetData>
  <mergeCells count="3">
    <mergeCell ref="A2:D2"/>
    <mergeCell ref="A3:B3"/>
    <mergeCell ref="B28:C28"/>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tabSelected="1" workbookViewId="0">
      <selection activeCell="C14" sqref="C14"/>
    </sheetView>
  </sheetViews>
  <sheetFormatPr defaultColWidth="9" defaultRowHeight="13.5" outlineLevelCol="3"/>
  <cols>
    <col min="1" max="1" width="11.625" style="228" customWidth="1"/>
    <col min="2" max="2" width="30" style="105" customWidth="1"/>
    <col min="3" max="3" width="70.625" style="105" customWidth="1"/>
    <col min="4" max="4" width="16.125" style="106" customWidth="1"/>
  </cols>
  <sheetData>
    <row r="1" spans="1:1">
      <c r="A1" s="228" t="s">
        <v>234</v>
      </c>
    </row>
    <row r="2" ht="25.5" spans="1:4">
      <c r="A2" s="229" t="s">
        <v>235</v>
      </c>
      <c r="B2" s="230"/>
      <c r="C2" s="230"/>
      <c r="D2" s="231"/>
    </row>
    <row r="3" ht="14.25" spans="1:4">
      <c r="A3" s="109" t="s">
        <v>163</v>
      </c>
      <c r="B3" s="232"/>
      <c r="C3" s="110" t="s">
        <v>3</v>
      </c>
      <c r="D3" s="111" t="s">
        <v>197</v>
      </c>
    </row>
    <row r="4" ht="14.25" spans="1:4">
      <c r="A4" s="233" t="s">
        <v>236</v>
      </c>
      <c r="B4" s="234" t="s">
        <v>237</v>
      </c>
      <c r="C4" s="234" t="s">
        <v>238</v>
      </c>
      <c r="D4" s="235" t="s">
        <v>239</v>
      </c>
    </row>
    <row r="5" ht="14.25" spans="1:4">
      <c r="A5" s="236" t="s">
        <v>240</v>
      </c>
      <c r="B5" s="237" t="s">
        <v>241</v>
      </c>
      <c r="C5" s="237" t="s">
        <v>242</v>
      </c>
      <c r="D5" s="238">
        <v>20000</v>
      </c>
    </row>
    <row r="6" ht="14.25" spans="1:4">
      <c r="A6" s="236" t="s">
        <v>243</v>
      </c>
      <c r="B6" s="237" t="s">
        <v>244</v>
      </c>
      <c r="C6" s="237" t="s">
        <v>245</v>
      </c>
      <c r="D6" s="238">
        <v>93860</v>
      </c>
    </row>
    <row r="7" ht="14.25" spans="1:4">
      <c r="A7" s="236" t="s">
        <v>243</v>
      </c>
      <c r="B7" s="237" t="s">
        <v>246</v>
      </c>
      <c r="C7" s="237" t="s">
        <v>247</v>
      </c>
      <c r="D7" s="238">
        <v>200000</v>
      </c>
    </row>
    <row r="8" ht="14.25" spans="1:4">
      <c r="A8" s="236" t="s">
        <v>243</v>
      </c>
      <c r="B8" s="237" t="s">
        <v>248</v>
      </c>
      <c r="C8" s="239" t="s">
        <v>249</v>
      </c>
      <c r="D8" s="240">
        <v>200000</v>
      </c>
    </row>
    <row r="9" ht="14.25" spans="1:4">
      <c r="A9" s="236" t="s">
        <v>243</v>
      </c>
      <c r="B9" s="237" t="s">
        <v>248</v>
      </c>
      <c r="C9" s="239" t="s">
        <v>250</v>
      </c>
      <c r="D9" s="240">
        <v>99500</v>
      </c>
    </row>
    <row r="10" ht="14.25" spans="1:4">
      <c r="A10" s="236" t="s">
        <v>243</v>
      </c>
      <c r="B10" s="237" t="s">
        <v>248</v>
      </c>
      <c r="C10" s="239" t="s">
        <v>251</v>
      </c>
      <c r="D10" s="240">
        <v>12000</v>
      </c>
    </row>
    <row r="11" ht="14.25" spans="1:4">
      <c r="A11" s="236" t="s">
        <v>243</v>
      </c>
      <c r="B11" s="237" t="s">
        <v>248</v>
      </c>
      <c r="C11" s="239" t="s">
        <v>252</v>
      </c>
      <c r="D11" s="240">
        <v>8640</v>
      </c>
    </row>
    <row r="12" ht="14.25" spans="1:4">
      <c r="A12" s="236" t="s">
        <v>243</v>
      </c>
      <c r="B12" s="237" t="s">
        <v>248</v>
      </c>
      <c r="C12" s="239" t="s">
        <v>253</v>
      </c>
      <c r="D12" s="240">
        <v>410000</v>
      </c>
    </row>
    <row r="13" ht="14.25" spans="1:4">
      <c r="A13" s="241" t="s">
        <v>254</v>
      </c>
      <c r="B13" s="237" t="s">
        <v>255</v>
      </c>
      <c r="C13" s="239" t="s">
        <v>256</v>
      </c>
      <c r="D13" s="240">
        <v>270320</v>
      </c>
    </row>
    <row r="14" ht="14.25" spans="1:4">
      <c r="A14" s="241" t="s">
        <v>254</v>
      </c>
      <c r="B14" s="237" t="s">
        <v>257</v>
      </c>
      <c r="C14" s="239" t="s">
        <v>258</v>
      </c>
      <c r="D14" s="240">
        <v>16620</v>
      </c>
    </row>
    <row r="15" ht="14.25" spans="1:4">
      <c r="A15" s="241" t="s">
        <v>259</v>
      </c>
      <c r="B15" s="237" t="s">
        <v>248</v>
      </c>
      <c r="C15" s="239" t="s">
        <v>260</v>
      </c>
      <c r="D15" s="240">
        <v>33120</v>
      </c>
    </row>
    <row r="16" ht="14.25" spans="1:4">
      <c r="A16" s="241" t="s">
        <v>259</v>
      </c>
      <c r="B16" s="237" t="s">
        <v>248</v>
      </c>
      <c r="C16" s="239" t="s">
        <v>261</v>
      </c>
      <c r="D16" s="240">
        <v>40580</v>
      </c>
    </row>
    <row r="17" ht="14.25" spans="1:4">
      <c r="A17" s="241" t="s">
        <v>259</v>
      </c>
      <c r="B17" s="237" t="s">
        <v>248</v>
      </c>
      <c r="C17" s="239" t="s">
        <v>262</v>
      </c>
      <c r="D17" s="240">
        <v>80000</v>
      </c>
    </row>
    <row r="18" ht="28.5" spans="1:4">
      <c r="A18" s="241" t="s">
        <v>259</v>
      </c>
      <c r="B18" s="237" t="s">
        <v>263</v>
      </c>
      <c r="C18" s="239" t="s">
        <v>264</v>
      </c>
      <c r="D18" s="240">
        <v>17800</v>
      </c>
    </row>
    <row r="19" ht="14.25" spans="1:4">
      <c r="A19" s="241" t="s">
        <v>265</v>
      </c>
      <c r="B19" s="237" t="s">
        <v>255</v>
      </c>
      <c r="C19" s="239" t="s">
        <v>266</v>
      </c>
      <c r="D19" s="240">
        <v>1000000</v>
      </c>
    </row>
    <row r="20" ht="14.25" spans="1:4">
      <c r="A20" s="242" t="s">
        <v>267</v>
      </c>
      <c r="B20" s="237" t="s">
        <v>255</v>
      </c>
      <c r="C20" s="237" t="s">
        <v>268</v>
      </c>
      <c r="D20" s="238">
        <v>100000</v>
      </c>
    </row>
    <row r="21" ht="14.25" spans="1:4">
      <c r="A21" s="241" t="s">
        <v>269</v>
      </c>
      <c r="B21" s="239" t="s">
        <v>270</v>
      </c>
      <c r="C21" s="239" t="s">
        <v>271</v>
      </c>
      <c r="D21" s="243">
        <v>30000</v>
      </c>
    </row>
    <row r="22" ht="28.5" spans="1:4">
      <c r="A22" s="241" t="s">
        <v>269</v>
      </c>
      <c r="B22" s="239" t="s">
        <v>272</v>
      </c>
      <c r="C22" s="239" t="s">
        <v>273</v>
      </c>
      <c r="D22" s="243">
        <v>25200</v>
      </c>
    </row>
    <row r="23" ht="14.25" spans="1:4">
      <c r="A23" s="241" t="s">
        <v>274</v>
      </c>
      <c r="B23" s="239" t="s">
        <v>275</v>
      </c>
      <c r="C23" s="239" t="s">
        <v>276</v>
      </c>
      <c r="D23" s="243">
        <v>30933</v>
      </c>
    </row>
    <row r="24" ht="14.25" spans="1:4">
      <c r="A24" s="241" t="s">
        <v>277</v>
      </c>
      <c r="B24" s="239" t="s">
        <v>219</v>
      </c>
      <c r="C24" s="239" t="s">
        <v>278</v>
      </c>
      <c r="D24" s="243">
        <v>98200</v>
      </c>
    </row>
    <row r="25" ht="14.25" spans="1:4">
      <c r="A25" s="241" t="s">
        <v>279</v>
      </c>
      <c r="B25" s="237" t="s">
        <v>280</v>
      </c>
      <c r="C25" s="239" t="s">
        <v>281</v>
      </c>
      <c r="D25" s="243">
        <v>90000</v>
      </c>
    </row>
    <row r="26" ht="28.5" spans="1:4">
      <c r="A26" s="241" t="s">
        <v>282</v>
      </c>
      <c r="B26" s="239" t="s">
        <v>257</v>
      </c>
      <c r="C26" s="239" t="s">
        <v>283</v>
      </c>
      <c r="D26" s="243">
        <v>600000</v>
      </c>
    </row>
    <row r="27" ht="14.25" spans="1:4">
      <c r="A27" s="241" t="s">
        <v>282</v>
      </c>
      <c r="B27" s="237" t="s">
        <v>248</v>
      </c>
      <c r="C27" s="239" t="s">
        <v>284</v>
      </c>
      <c r="D27" s="243">
        <v>64335.67</v>
      </c>
    </row>
    <row r="28" ht="14.25" spans="1:4">
      <c r="A28" s="241" t="s">
        <v>285</v>
      </c>
      <c r="B28" s="239" t="s">
        <v>246</v>
      </c>
      <c r="C28" s="239" t="s">
        <v>286</v>
      </c>
      <c r="D28" s="243">
        <v>105220</v>
      </c>
    </row>
    <row r="29" ht="14.25" spans="1:4">
      <c r="A29" s="241" t="s">
        <v>287</v>
      </c>
      <c r="B29" s="237" t="s">
        <v>288</v>
      </c>
      <c r="C29" s="239" t="s">
        <v>289</v>
      </c>
      <c r="D29" s="243">
        <v>90000</v>
      </c>
    </row>
    <row r="30" ht="14.25" spans="1:4">
      <c r="A30" s="241" t="s">
        <v>290</v>
      </c>
      <c r="B30" s="237" t="s">
        <v>246</v>
      </c>
      <c r="C30" s="239" t="s">
        <v>291</v>
      </c>
      <c r="D30" s="243">
        <v>149903.19</v>
      </c>
    </row>
    <row r="31" ht="14.25" spans="1:4">
      <c r="A31" s="241" t="s">
        <v>292</v>
      </c>
      <c r="B31" s="239" t="s">
        <v>293</v>
      </c>
      <c r="C31" s="239" t="s">
        <v>294</v>
      </c>
      <c r="D31" s="243">
        <v>100000</v>
      </c>
    </row>
    <row r="32" ht="14.25" spans="1:4">
      <c r="A32" s="241" t="s">
        <v>295</v>
      </c>
      <c r="B32" s="239" t="s">
        <v>255</v>
      </c>
      <c r="C32" s="239" t="s">
        <v>296</v>
      </c>
      <c r="D32" s="243">
        <v>14600</v>
      </c>
    </row>
    <row r="33" ht="14.25" spans="1:4">
      <c r="A33" s="241" t="s">
        <v>295</v>
      </c>
      <c r="B33" s="237" t="s">
        <v>211</v>
      </c>
      <c r="C33" s="239" t="s">
        <v>297</v>
      </c>
      <c r="D33" s="243">
        <v>200000</v>
      </c>
    </row>
    <row r="34" ht="14.25" spans="1:4">
      <c r="A34" s="242" t="s">
        <v>298</v>
      </c>
      <c r="B34" s="237" t="s">
        <v>299</v>
      </c>
      <c r="C34" s="239" t="s">
        <v>300</v>
      </c>
      <c r="D34" s="238">
        <v>40000</v>
      </c>
    </row>
    <row r="35" ht="14.25" spans="1:4">
      <c r="A35" s="242" t="s">
        <v>298</v>
      </c>
      <c r="B35" s="237" t="s">
        <v>301</v>
      </c>
      <c r="C35" s="239" t="s">
        <v>302</v>
      </c>
      <c r="D35" s="238">
        <v>540000</v>
      </c>
    </row>
    <row r="36" ht="14.25" spans="1:4">
      <c r="A36" s="242" t="s">
        <v>298</v>
      </c>
      <c r="B36" s="237" t="s">
        <v>303</v>
      </c>
      <c r="C36" s="239" t="s">
        <v>304</v>
      </c>
      <c r="D36" s="238">
        <v>150000</v>
      </c>
    </row>
    <row r="37" ht="14.25" spans="1:4">
      <c r="A37" s="242" t="s">
        <v>298</v>
      </c>
      <c r="B37" s="237" t="s">
        <v>303</v>
      </c>
      <c r="C37" s="237" t="s">
        <v>305</v>
      </c>
      <c r="D37" s="238">
        <v>310000</v>
      </c>
    </row>
    <row r="38" ht="14.25" spans="1:4">
      <c r="A38" s="242" t="s">
        <v>306</v>
      </c>
      <c r="B38" s="237" t="s">
        <v>307</v>
      </c>
      <c r="C38" s="239" t="s">
        <v>308</v>
      </c>
      <c r="D38" s="238">
        <v>1199416.73</v>
      </c>
    </row>
    <row r="39" ht="14.25" spans="1:4">
      <c r="A39" s="242" t="s">
        <v>309</v>
      </c>
      <c r="B39" s="237" t="s">
        <v>293</v>
      </c>
      <c r="C39" s="239" t="s">
        <v>310</v>
      </c>
      <c r="D39" s="238">
        <v>130000</v>
      </c>
    </row>
    <row r="40" ht="28.5" spans="1:4">
      <c r="A40" s="242" t="s">
        <v>311</v>
      </c>
      <c r="B40" s="237" t="s">
        <v>312</v>
      </c>
      <c r="C40" s="239" t="s">
        <v>313</v>
      </c>
      <c r="D40" s="238">
        <v>44300</v>
      </c>
    </row>
    <row r="41" ht="14.25" spans="1:4">
      <c r="A41" s="242" t="s">
        <v>295</v>
      </c>
      <c r="B41" s="237" t="s">
        <v>314</v>
      </c>
      <c r="C41" s="237" t="s">
        <v>315</v>
      </c>
      <c r="D41" s="238">
        <v>71200</v>
      </c>
    </row>
    <row r="42" ht="14.25" spans="1:4">
      <c r="A42" s="242" t="s">
        <v>267</v>
      </c>
      <c r="B42" s="237" t="s">
        <v>255</v>
      </c>
      <c r="C42" s="237" t="s">
        <v>268</v>
      </c>
      <c r="D42" s="238">
        <v>100000</v>
      </c>
    </row>
    <row r="43" ht="14.25" spans="1:4">
      <c r="A43" s="242"/>
      <c r="B43" s="244"/>
      <c r="C43" s="239"/>
      <c r="D43" s="238"/>
    </row>
    <row r="44" ht="14.25" spans="1:4">
      <c r="A44" s="245"/>
      <c r="B44" s="246"/>
      <c r="C44" s="247"/>
      <c r="D44" s="248"/>
    </row>
    <row r="45" ht="14.25" spans="1:4">
      <c r="A45" s="249"/>
      <c r="B45" s="250"/>
      <c r="C45" s="250"/>
      <c r="D45" s="248">
        <f>SUM(D5:D44)</f>
        <v>6785748.59</v>
      </c>
    </row>
  </sheetData>
  <mergeCells count="2">
    <mergeCell ref="A2:D2"/>
    <mergeCell ref="A3:B3"/>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workbookViewId="0">
      <selection activeCell="A1" sqref="A1"/>
    </sheetView>
  </sheetViews>
  <sheetFormatPr defaultColWidth="9" defaultRowHeight="13.5"/>
  <cols>
    <col min="1" max="1" width="23.5" style="105" customWidth="1"/>
    <col min="2" max="3" width="8.625" customWidth="1"/>
    <col min="4" max="4" width="8.875" customWidth="1"/>
    <col min="5" max="5" width="25.5" customWidth="1"/>
    <col min="6" max="6" width="8.5" customWidth="1"/>
    <col min="7" max="7" width="8.625" customWidth="1"/>
    <col min="8" max="8" width="8.25" customWidth="1"/>
    <col min="9" max="9" width="6.25" customWidth="1"/>
    <col min="10" max="10" width="6.625" customWidth="1"/>
    <col min="11" max="11" width="8.25" customWidth="1"/>
    <col min="12" max="12" width="26.25" customWidth="1"/>
  </cols>
  <sheetData>
    <row r="1" ht="14.25" spans="1:10">
      <c r="A1" t="s">
        <v>316</v>
      </c>
      <c r="B1" s="189"/>
      <c r="C1" s="189"/>
      <c r="D1" s="189"/>
      <c r="E1" s="190"/>
      <c r="F1" s="190"/>
      <c r="G1" s="190"/>
      <c r="H1" s="190"/>
      <c r="I1" s="190"/>
      <c r="J1" s="190"/>
    </row>
    <row r="2" ht="22.5" spans="1:10">
      <c r="A2" s="191" t="s">
        <v>317</v>
      </c>
      <c r="B2" s="192"/>
      <c r="C2" s="192"/>
      <c r="D2" s="192"/>
      <c r="E2" s="192"/>
      <c r="F2" s="192"/>
      <c r="G2" s="192"/>
      <c r="H2" s="192"/>
      <c r="I2" s="192"/>
      <c r="J2" s="192"/>
    </row>
    <row r="3" ht="14.25" spans="1:10">
      <c r="A3" s="193" t="s">
        <v>163</v>
      </c>
      <c r="D3" s="190"/>
      <c r="E3" s="194" t="s">
        <v>3</v>
      </c>
      <c r="F3" s="194"/>
      <c r="G3" s="195"/>
      <c r="H3" s="195"/>
      <c r="I3" s="195"/>
      <c r="J3" s="220" t="s">
        <v>4</v>
      </c>
    </row>
    <row r="4" spans="1:12">
      <c r="A4" s="196" t="s">
        <v>318</v>
      </c>
      <c r="B4" s="197"/>
      <c r="C4" s="197"/>
      <c r="D4" s="197"/>
      <c r="E4" s="198" t="s">
        <v>6</v>
      </c>
      <c r="F4" s="198"/>
      <c r="G4" s="199"/>
      <c r="H4" s="199"/>
      <c r="I4" s="221"/>
      <c r="J4" s="199"/>
      <c r="K4" s="199"/>
      <c r="L4" s="222" t="s">
        <v>7</v>
      </c>
    </row>
    <row r="5" spans="1:12">
      <c r="A5" s="200" t="s">
        <v>8</v>
      </c>
      <c r="B5" s="200" t="s">
        <v>319</v>
      </c>
      <c r="C5" s="200" t="s">
        <v>10</v>
      </c>
      <c r="D5" s="200" t="s">
        <v>11</v>
      </c>
      <c r="E5" s="198" t="s">
        <v>8</v>
      </c>
      <c r="F5" s="201" t="s">
        <v>9</v>
      </c>
      <c r="G5" s="202" t="s">
        <v>10</v>
      </c>
      <c r="H5" s="203" t="s">
        <v>12</v>
      </c>
      <c r="I5" s="223"/>
      <c r="J5" s="203"/>
      <c r="K5" s="203"/>
      <c r="L5" s="222"/>
    </row>
    <row r="6" ht="33.75" spans="1:12">
      <c r="A6" s="204"/>
      <c r="B6" s="204"/>
      <c r="C6" s="204"/>
      <c r="D6" s="204"/>
      <c r="E6" s="198"/>
      <c r="F6" s="205"/>
      <c r="G6" s="206"/>
      <c r="H6" s="203" t="s">
        <v>13</v>
      </c>
      <c r="I6" s="223" t="s">
        <v>320</v>
      </c>
      <c r="J6" s="203" t="s">
        <v>15</v>
      </c>
      <c r="K6" s="203" t="s">
        <v>321</v>
      </c>
      <c r="L6" s="222"/>
    </row>
    <row r="7" spans="1:12">
      <c r="A7" s="207" t="s">
        <v>322</v>
      </c>
      <c r="B7" s="208"/>
      <c r="C7" s="208">
        <f t="shared" ref="C7:C23" si="0">B7+D7</f>
        <v>0</v>
      </c>
      <c r="D7" s="208"/>
      <c r="E7" s="208" t="s">
        <v>323</v>
      </c>
      <c r="F7" s="209"/>
      <c r="G7" s="209">
        <f t="shared" ref="G7:G34" si="1">F7+H7</f>
        <v>4</v>
      </c>
      <c r="H7" s="209">
        <f t="shared" ref="H7:H22" si="2">I7+J7+K7</f>
        <v>4</v>
      </c>
      <c r="I7" s="209"/>
      <c r="J7" s="209">
        <v>4</v>
      </c>
      <c r="K7" s="224"/>
      <c r="L7" s="225" t="s">
        <v>324</v>
      </c>
    </row>
    <row r="8" ht="24" spans="1:12">
      <c r="A8" s="207" t="s">
        <v>325</v>
      </c>
      <c r="B8" s="208"/>
      <c r="C8" s="208">
        <f t="shared" si="0"/>
        <v>0</v>
      </c>
      <c r="D8" s="208"/>
      <c r="E8" s="208" t="s">
        <v>326</v>
      </c>
      <c r="F8" s="209">
        <v>1421</v>
      </c>
      <c r="G8" s="209">
        <f t="shared" si="1"/>
        <v>2186</v>
      </c>
      <c r="H8" s="209">
        <f t="shared" si="2"/>
        <v>765</v>
      </c>
      <c r="I8" s="209"/>
      <c r="J8" s="209">
        <v>765</v>
      </c>
      <c r="K8" s="226"/>
      <c r="L8" s="225" t="s">
        <v>327</v>
      </c>
    </row>
    <row r="9" ht="24" spans="1:12">
      <c r="A9" s="207" t="s">
        <v>328</v>
      </c>
      <c r="B9" s="208"/>
      <c r="C9" s="208">
        <f t="shared" si="0"/>
        <v>0</v>
      </c>
      <c r="D9" s="208"/>
      <c r="E9" s="208" t="s">
        <v>329</v>
      </c>
      <c r="F9" s="209"/>
      <c r="G9" s="209">
        <f t="shared" si="1"/>
        <v>0</v>
      </c>
      <c r="H9" s="209">
        <f t="shared" si="2"/>
        <v>0</v>
      </c>
      <c r="I9" s="209"/>
      <c r="J9" s="209"/>
      <c r="K9" s="226"/>
      <c r="L9" s="225"/>
    </row>
    <row r="10" spans="1:12">
      <c r="A10" s="207" t="s">
        <v>330</v>
      </c>
      <c r="B10" s="208">
        <v>128</v>
      </c>
      <c r="C10" s="208">
        <f t="shared" si="0"/>
        <v>128</v>
      </c>
      <c r="D10" s="208"/>
      <c r="E10" s="208" t="s">
        <v>331</v>
      </c>
      <c r="F10" s="209">
        <v>13817</v>
      </c>
      <c r="G10" s="209">
        <f t="shared" si="1"/>
        <v>3086</v>
      </c>
      <c r="H10" s="209">
        <f t="shared" si="2"/>
        <v>-10731</v>
      </c>
      <c r="I10" s="209"/>
      <c r="J10" s="209"/>
      <c r="K10" s="226">
        <f>-10451-300+20</f>
        <v>-10731</v>
      </c>
      <c r="L10" s="227" t="s">
        <v>332</v>
      </c>
    </row>
    <row r="11" spans="1:12">
      <c r="A11" s="207" t="s">
        <v>333</v>
      </c>
      <c r="B11" s="208"/>
      <c r="C11" s="208">
        <f t="shared" si="0"/>
        <v>0</v>
      </c>
      <c r="D11" s="208"/>
      <c r="E11" s="208" t="s">
        <v>334</v>
      </c>
      <c r="F11" s="209">
        <v>26</v>
      </c>
      <c r="G11" s="209">
        <f t="shared" si="1"/>
        <v>26</v>
      </c>
      <c r="H11" s="209">
        <f t="shared" si="2"/>
        <v>0</v>
      </c>
      <c r="I11" s="209"/>
      <c r="J11" s="209"/>
      <c r="K11" s="226"/>
      <c r="L11" s="225"/>
    </row>
    <row r="12" ht="24" spans="1:12">
      <c r="A12" s="207" t="s">
        <v>335</v>
      </c>
      <c r="B12" s="208">
        <v>32220</v>
      </c>
      <c r="C12" s="208">
        <f t="shared" si="0"/>
        <v>9969</v>
      </c>
      <c r="D12" s="208">
        <f>-5000-6800-10451</f>
        <v>-22251</v>
      </c>
      <c r="E12" s="210" t="s">
        <v>336</v>
      </c>
      <c r="F12" s="209"/>
      <c r="G12" s="209">
        <f t="shared" si="1"/>
        <v>0</v>
      </c>
      <c r="H12" s="209">
        <f t="shared" si="2"/>
        <v>0</v>
      </c>
      <c r="I12" s="209"/>
      <c r="J12" s="209"/>
      <c r="K12" s="226"/>
      <c r="L12" s="225"/>
    </row>
    <row r="13" ht="24" spans="1:12">
      <c r="A13" s="207" t="s">
        <v>337</v>
      </c>
      <c r="B13" s="208"/>
      <c r="C13" s="208">
        <f t="shared" si="0"/>
        <v>0</v>
      </c>
      <c r="D13" s="208"/>
      <c r="E13" s="210" t="s">
        <v>338</v>
      </c>
      <c r="F13" s="209"/>
      <c r="G13" s="209">
        <f t="shared" si="1"/>
        <v>0</v>
      </c>
      <c r="H13" s="209">
        <f t="shared" si="2"/>
        <v>0</v>
      </c>
      <c r="I13" s="209"/>
      <c r="J13" s="209"/>
      <c r="K13" s="226"/>
      <c r="L13" s="225"/>
    </row>
    <row r="14" spans="1:12">
      <c r="A14" s="207" t="s">
        <v>339</v>
      </c>
      <c r="B14" s="208"/>
      <c r="C14" s="208">
        <f t="shared" si="0"/>
        <v>0</v>
      </c>
      <c r="D14" s="208"/>
      <c r="E14" s="210" t="s">
        <v>340</v>
      </c>
      <c r="F14" s="209">
        <v>1585</v>
      </c>
      <c r="G14" s="209">
        <f t="shared" si="1"/>
        <v>2197</v>
      </c>
      <c r="H14" s="209">
        <f t="shared" si="2"/>
        <v>612</v>
      </c>
      <c r="I14" s="209"/>
      <c r="J14" s="209">
        <v>612</v>
      </c>
      <c r="K14" s="226"/>
      <c r="L14" s="225" t="s">
        <v>341</v>
      </c>
    </row>
    <row r="15" ht="24" spans="1:12">
      <c r="A15" s="207" t="s">
        <v>342</v>
      </c>
      <c r="B15" s="208">
        <v>69</v>
      </c>
      <c r="C15" s="208">
        <f t="shared" si="0"/>
        <v>89</v>
      </c>
      <c r="D15" s="208">
        <v>20</v>
      </c>
      <c r="E15" s="210" t="s">
        <v>343</v>
      </c>
      <c r="F15" s="209">
        <v>1012</v>
      </c>
      <c r="G15" s="209">
        <f t="shared" si="1"/>
        <v>1012</v>
      </c>
      <c r="H15" s="209">
        <f t="shared" si="2"/>
        <v>0</v>
      </c>
      <c r="I15" s="209"/>
      <c r="J15" s="209"/>
      <c r="K15" s="226"/>
      <c r="L15" s="225"/>
    </row>
    <row r="16" ht="24" spans="1:12">
      <c r="A16" s="207" t="s">
        <v>344</v>
      </c>
      <c r="B16" s="208"/>
      <c r="C16" s="208">
        <f t="shared" si="0"/>
        <v>0</v>
      </c>
      <c r="D16" s="208"/>
      <c r="E16" s="210" t="s">
        <v>345</v>
      </c>
      <c r="F16" s="209">
        <v>88</v>
      </c>
      <c r="G16" s="209">
        <f t="shared" si="1"/>
        <v>88</v>
      </c>
      <c r="H16" s="209">
        <f t="shared" si="2"/>
        <v>0</v>
      </c>
      <c r="I16" s="209"/>
      <c r="J16" s="209"/>
      <c r="K16" s="226"/>
      <c r="L16" s="225"/>
    </row>
    <row r="17" ht="24" spans="1:12">
      <c r="A17" s="207" t="s">
        <v>346</v>
      </c>
      <c r="B17" s="208"/>
      <c r="C17" s="208">
        <f t="shared" si="0"/>
        <v>0</v>
      </c>
      <c r="D17" s="208"/>
      <c r="E17" s="210" t="s">
        <v>347</v>
      </c>
      <c r="F17" s="209"/>
      <c r="G17" s="209">
        <f t="shared" si="1"/>
        <v>0</v>
      </c>
      <c r="H17" s="209">
        <f t="shared" si="2"/>
        <v>0</v>
      </c>
      <c r="I17" s="209"/>
      <c r="J17" s="209"/>
      <c r="K17" s="226"/>
      <c r="L17" s="225"/>
    </row>
    <row r="18" spans="1:12">
      <c r="A18" s="207" t="s">
        <v>348</v>
      </c>
      <c r="B18" s="208"/>
      <c r="C18" s="208">
        <f t="shared" si="0"/>
        <v>0</v>
      </c>
      <c r="D18" s="208"/>
      <c r="E18" s="210"/>
      <c r="F18" s="209"/>
      <c r="G18" s="209">
        <f t="shared" si="1"/>
        <v>0</v>
      </c>
      <c r="H18" s="209">
        <f t="shared" si="2"/>
        <v>0</v>
      </c>
      <c r="I18" s="209"/>
      <c r="J18" s="209"/>
      <c r="K18" s="226"/>
      <c r="L18" s="225"/>
    </row>
    <row r="19" spans="1:12">
      <c r="A19" s="207" t="s">
        <v>349</v>
      </c>
      <c r="B19" s="208">
        <v>115</v>
      </c>
      <c r="C19" s="208">
        <f t="shared" si="0"/>
        <v>0</v>
      </c>
      <c r="D19" s="208">
        <v>-115</v>
      </c>
      <c r="E19" s="210"/>
      <c r="F19" s="209"/>
      <c r="G19" s="209">
        <f t="shared" si="1"/>
        <v>0</v>
      </c>
      <c r="H19" s="209">
        <f t="shared" si="2"/>
        <v>0</v>
      </c>
      <c r="I19" s="209"/>
      <c r="J19" s="209"/>
      <c r="K19" s="226"/>
      <c r="L19" s="225"/>
    </row>
    <row r="20" ht="24" spans="1:12">
      <c r="A20" s="207" t="s">
        <v>350</v>
      </c>
      <c r="B20" s="208"/>
      <c r="C20" s="208">
        <f t="shared" si="0"/>
        <v>0</v>
      </c>
      <c r="D20" s="208"/>
      <c r="E20" s="210"/>
      <c r="F20" s="209"/>
      <c r="G20" s="209">
        <f t="shared" si="1"/>
        <v>0</v>
      </c>
      <c r="H20" s="209">
        <f t="shared" si="2"/>
        <v>0</v>
      </c>
      <c r="I20" s="209"/>
      <c r="J20" s="209"/>
      <c r="K20" s="226"/>
      <c r="L20" s="225"/>
    </row>
    <row r="21" spans="1:12">
      <c r="A21" s="207" t="s">
        <v>351</v>
      </c>
      <c r="B21" s="208">
        <v>66</v>
      </c>
      <c r="C21" s="208">
        <f t="shared" si="0"/>
        <v>66</v>
      </c>
      <c r="D21" s="208"/>
      <c r="E21" s="211"/>
      <c r="F21" s="209"/>
      <c r="G21" s="209">
        <f t="shared" si="1"/>
        <v>0</v>
      </c>
      <c r="H21" s="209">
        <f t="shared" si="2"/>
        <v>0</v>
      </c>
      <c r="I21" s="209"/>
      <c r="J21" s="209"/>
      <c r="K21" s="226"/>
      <c r="L21" s="225"/>
    </row>
    <row r="22" ht="24" spans="1:12">
      <c r="A22" s="212" t="s">
        <v>352</v>
      </c>
      <c r="B22" s="209">
        <v>696</v>
      </c>
      <c r="C22" s="208">
        <f t="shared" si="0"/>
        <v>696</v>
      </c>
      <c r="D22" s="209"/>
      <c r="E22" s="211"/>
      <c r="F22" s="209"/>
      <c r="G22" s="209">
        <f t="shared" si="1"/>
        <v>0</v>
      </c>
      <c r="H22" s="209">
        <f t="shared" si="2"/>
        <v>0</v>
      </c>
      <c r="I22" s="209"/>
      <c r="J22" s="209"/>
      <c r="K22" s="226"/>
      <c r="L22" s="225"/>
    </row>
    <row r="23" spans="1:12">
      <c r="A23" s="213" t="s">
        <v>194</v>
      </c>
      <c r="B23" s="214">
        <f>SUM(B7:B22)</f>
        <v>33294</v>
      </c>
      <c r="C23" s="214">
        <f>SUM(C7:C22)</f>
        <v>10948</v>
      </c>
      <c r="D23" s="214">
        <f>SUM(D7:D22)</f>
        <v>-22346</v>
      </c>
      <c r="E23" s="215" t="s">
        <v>353</v>
      </c>
      <c r="F23" s="209">
        <f t="shared" ref="F23:K23" si="3">SUM(F7:F22)</f>
        <v>17949</v>
      </c>
      <c r="G23" s="209">
        <f t="shared" si="1"/>
        <v>8599</v>
      </c>
      <c r="H23" s="209">
        <f t="shared" si="3"/>
        <v>-9350</v>
      </c>
      <c r="I23" s="209">
        <f t="shared" si="3"/>
        <v>0</v>
      </c>
      <c r="J23" s="209">
        <f t="shared" si="3"/>
        <v>1381</v>
      </c>
      <c r="K23" s="209">
        <f t="shared" si="3"/>
        <v>-10731</v>
      </c>
      <c r="L23" s="225"/>
    </row>
    <row r="24" spans="1:12">
      <c r="A24" s="216" t="s">
        <v>354</v>
      </c>
      <c r="B24" s="209">
        <f t="shared" ref="B24:F24" si="4">SUM(B25:B28)</f>
        <v>4455</v>
      </c>
      <c r="C24" s="209">
        <f t="shared" si="4"/>
        <v>5836</v>
      </c>
      <c r="D24" s="209">
        <f t="shared" si="4"/>
        <v>1381</v>
      </c>
      <c r="E24" s="217" t="s">
        <v>355</v>
      </c>
      <c r="F24" s="209">
        <f t="shared" si="4"/>
        <v>14800</v>
      </c>
      <c r="G24" s="209">
        <f t="shared" si="1"/>
        <v>8185</v>
      </c>
      <c r="H24" s="209">
        <f>I24+J24+K24</f>
        <v>-6615</v>
      </c>
      <c r="I24" s="209"/>
      <c r="J24" s="209"/>
      <c r="K24" s="226">
        <v>-6615</v>
      </c>
      <c r="L24" s="225"/>
    </row>
    <row r="25" spans="1:12">
      <c r="A25" s="212" t="s">
        <v>356</v>
      </c>
      <c r="B25" s="209">
        <v>1262</v>
      </c>
      <c r="C25" s="209">
        <f t="shared" ref="C25:C33" si="5">D25+B25</f>
        <v>2643</v>
      </c>
      <c r="D25" s="209">
        <v>1381</v>
      </c>
      <c r="E25" s="209" t="s">
        <v>357</v>
      </c>
      <c r="F25" s="209"/>
      <c r="G25" s="209">
        <f t="shared" si="1"/>
        <v>0</v>
      </c>
      <c r="H25" s="209">
        <f t="shared" ref="H25:H34" si="6">I25+J25+K25</f>
        <v>0</v>
      </c>
      <c r="I25" s="209"/>
      <c r="J25" s="209"/>
      <c r="K25" s="226"/>
      <c r="L25" s="225"/>
    </row>
    <row r="26" spans="1:12">
      <c r="A26" s="212" t="s">
        <v>358</v>
      </c>
      <c r="B26" s="209"/>
      <c r="C26" s="209">
        <f t="shared" si="5"/>
        <v>0</v>
      </c>
      <c r="D26" s="209"/>
      <c r="E26" s="209" t="s">
        <v>359</v>
      </c>
      <c r="F26" s="209"/>
      <c r="G26" s="209">
        <f t="shared" si="1"/>
        <v>0</v>
      </c>
      <c r="H26" s="209">
        <f t="shared" si="6"/>
        <v>0</v>
      </c>
      <c r="I26" s="209"/>
      <c r="J26" s="209"/>
      <c r="K26" s="226"/>
      <c r="L26" s="225"/>
    </row>
    <row r="27" spans="1:12">
      <c r="A27" s="212" t="s">
        <v>360</v>
      </c>
      <c r="B27" s="209">
        <v>3193</v>
      </c>
      <c r="C27" s="209">
        <f t="shared" si="5"/>
        <v>3193</v>
      </c>
      <c r="D27" s="209"/>
      <c r="E27" s="209" t="s">
        <v>361</v>
      </c>
      <c r="F27" s="209">
        <v>14800</v>
      </c>
      <c r="G27" s="209">
        <f t="shared" si="1"/>
        <v>8185</v>
      </c>
      <c r="H27" s="209">
        <f t="shared" si="6"/>
        <v>-6615</v>
      </c>
      <c r="I27" s="209"/>
      <c r="J27" s="209"/>
      <c r="K27" s="226">
        <f>-6800+185</f>
        <v>-6615</v>
      </c>
      <c r="L27" s="227" t="s">
        <v>362</v>
      </c>
    </row>
    <row r="28" spans="1:12">
      <c r="A28" s="212" t="s">
        <v>363</v>
      </c>
      <c r="B28" s="209"/>
      <c r="C28" s="209">
        <f t="shared" si="5"/>
        <v>0</v>
      </c>
      <c r="D28" s="209"/>
      <c r="E28" s="209" t="s">
        <v>364</v>
      </c>
      <c r="F28" s="209"/>
      <c r="G28" s="209">
        <f t="shared" si="1"/>
        <v>0</v>
      </c>
      <c r="H28" s="209">
        <f t="shared" si="6"/>
        <v>0</v>
      </c>
      <c r="I28" s="209"/>
      <c r="J28" s="209"/>
      <c r="K28" s="226"/>
      <c r="L28" s="225"/>
    </row>
    <row r="29" spans="1:12">
      <c r="A29" s="216" t="s">
        <v>365</v>
      </c>
      <c r="B29" s="209">
        <f>SUM(B30:B31)</f>
        <v>0</v>
      </c>
      <c r="C29" s="209">
        <f t="shared" si="5"/>
        <v>6431</v>
      </c>
      <c r="D29" s="209">
        <f>SUM(D30:D31)</f>
        <v>6431</v>
      </c>
      <c r="E29" s="217" t="s">
        <v>366</v>
      </c>
      <c r="F29" s="209">
        <v>5000</v>
      </c>
      <c r="G29" s="209">
        <f t="shared" si="1"/>
        <v>6431</v>
      </c>
      <c r="H29" s="209">
        <f t="shared" si="6"/>
        <v>1431</v>
      </c>
      <c r="I29" s="209">
        <v>1431</v>
      </c>
      <c r="J29" s="209"/>
      <c r="K29" s="226"/>
      <c r="L29" s="225"/>
    </row>
    <row r="30" spans="1:12">
      <c r="A30" s="218" t="s">
        <v>367</v>
      </c>
      <c r="B30" s="209"/>
      <c r="C30" s="209">
        <f t="shared" si="5"/>
        <v>0</v>
      </c>
      <c r="D30" s="209"/>
      <c r="E30" s="219" t="s">
        <v>368</v>
      </c>
      <c r="F30" s="209">
        <v>5000</v>
      </c>
      <c r="G30" s="209">
        <f t="shared" si="1"/>
        <v>6431</v>
      </c>
      <c r="H30" s="209">
        <f t="shared" si="6"/>
        <v>1431</v>
      </c>
      <c r="I30" s="209">
        <v>1431</v>
      </c>
      <c r="J30" s="209"/>
      <c r="K30" s="226"/>
      <c r="L30" s="225"/>
    </row>
    <row r="31" ht="24" spans="1:12">
      <c r="A31" s="218" t="s">
        <v>369</v>
      </c>
      <c r="B31" s="219"/>
      <c r="C31" s="209">
        <f t="shared" si="5"/>
        <v>6431</v>
      </c>
      <c r="D31" s="209">
        <f>5000+1431</f>
        <v>6431</v>
      </c>
      <c r="E31" s="219" t="s">
        <v>370</v>
      </c>
      <c r="F31" s="209"/>
      <c r="G31" s="209">
        <f t="shared" si="1"/>
        <v>0</v>
      </c>
      <c r="H31" s="209">
        <f t="shared" si="6"/>
        <v>0</v>
      </c>
      <c r="I31" s="209"/>
      <c r="J31" s="209"/>
      <c r="K31" s="226"/>
      <c r="L31" s="225"/>
    </row>
    <row r="32" spans="1:12">
      <c r="A32" s="218"/>
      <c r="B32" s="219"/>
      <c r="C32" s="209">
        <f t="shared" si="5"/>
        <v>0</v>
      </c>
      <c r="D32" s="209"/>
      <c r="E32" s="219"/>
      <c r="F32" s="209"/>
      <c r="G32" s="209">
        <f t="shared" si="1"/>
        <v>0</v>
      </c>
      <c r="H32" s="209">
        <f t="shared" si="6"/>
        <v>0</v>
      </c>
      <c r="I32" s="209"/>
      <c r="J32" s="209"/>
      <c r="K32" s="226"/>
      <c r="L32" s="225"/>
    </row>
    <row r="33" spans="1:12">
      <c r="A33" s="218"/>
      <c r="B33" s="219"/>
      <c r="C33" s="209">
        <f t="shared" si="5"/>
        <v>0</v>
      </c>
      <c r="D33" s="219"/>
      <c r="E33" s="219"/>
      <c r="F33" s="209"/>
      <c r="G33" s="209"/>
      <c r="H33" s="209">
        <f t="shared" si="6"/>
        <v>0</v>
      </c>
      <c r="I33" s="209"/>
      <c r="J33" s="209"/>
      <c r="K33" s="226"/>
      <c r="L33" s="225"/>
    </row>
    <row r="34" spans="1:12">
      <c r="A34" s="213" t="s">
        <v>159</v>
      </c>
      <c r="B34" s="215">
        <f>B23+B24+B29</f>
        <v>37749</v>
      </c>
      <c r="C34" s="215">
        <f>C23+C24+C29</f>
        <v>23215</v>
      </c>
      <c r="D34" s="215">
        <f>D23+D24+D29</f>
        <v>-14534</v>
      </c>
      <c r="E34" s="215" t="s">
        <v>160</v>
      </c>
      <c r="F34" s="217">
        <f>F23+F24+F29</f>
        <v>37749</v>
      </c>
      <c r="G34" s="217">
        <f>F34+H34</f>
        <v>23215</v>
      </c>
      <c r="H34" s="217">
        <f t="shared" si="6"/>
        <v>-14534</v>
      </c>
      <c r="I34" s="217">
        <f t="shared" ref="I34:K34" si="7">I23+I24+I29</f>
        <v>1431</v>
      </c>
      <c r="J34" s="217">
        <f t="shared" si="7"/>
        <v>1381</v>
      </c>
      <c r="K34" s="217">
        <f t="shared" si="7"/>
        <v>-17346</v>
      </c>
      <c r="L34" s="225"/>
    </row>
  </sheetData>
  <mergeCells count="13">
    <mergeCell ref="A2:J2"/>
    <mergeCell ref="E3:F3"/>
    <mergeCell ref="A4:D4"/>
    <mergeCell ref="E4:K4"/>
    <mergeCell ref="H5:K5"/>
    <mergeCell ref="A5:A6"/>
    <mergeCell ref="B5:B6"/>
    <mergeCell ref="C5:C6"/>
    <mergeCell ref="D5:D6"/>
    <mergeCell ref="E5:E6"/>
    <mergeCell ref="F5:F6"/>
    <mergeCell ref="G5:G6"/>
    <mergeCell ref="L4:L6"/>
  </mergeCells>
  <pageMargins left="0.0784722222222222" right="0.118055555555556"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workbookViewId="0">
      <pane xSplit="1" ySplit="5" topLeftCell="B25" activePane="bottomRight" state="frozen"/>
      <selection/>
      <selection pane="topRight"/>
      <selection pane="bottomLeft"/>
      <selection pane="bottomRight" activeCell="G40" sqref="G40"/>
    </sheetView>
  </sheetViews>
  <sheetFormatPr defaultColWidth="9" defaultRowHeight="13.5"/>
  <cols>
    <col min="1" max="1" width="4" style="131" customWidth="1"/>
    <col min="2" max="2" width="16.625" style="132" customWidth="1"/>
    <col min="3" max="3" width="10.5" style="131" customWidth="1"/>
    <col min="4" max="4" width="10.25" style="133" customWidth="1"/>
    <col min="5" max="5" width="4" style="131" customWidth="1"/>
    <col min="6" max="6" width="31.4333333333333" style="131" customWidth="1"/>
    <col min="7" max="7" width="32.5166666666667" style="134" customWidth="1"/>
    <col min="8" max="8" width="16.75" style="135" hidden="1" customWidth="1"/>
    <col min="9" max="9" width="11.2833333333333" style="136" customWidth="1"/>
    <col min="10" max="10" width="13.1583333333333" style="137" customWidth="1"/>
    <col min="11" max="11" width="12.0333333333333" style="137" customWidth="1"/>
  </cols>
  <sheetData>
    <row r="1" spans="1:1">
      <c r="A1" s="138" t="s">
        <v>371</v>
      </c>
    </row>
    <row r="2" ht="22.5" spans="1:11">
      <c r="A2" s="90" t="s">
        <v>372</v>
      </c>
      <c r="B2" s="90"/>
      <c r="C2" s="90"/>
      <c r="D2" s="139"/>
      <c r="E2" s="90"/>
      <c r="F2" s="90"/>
      <c r="G2" s="90"/>
      <c r="H2" s="90"/>
      <c r="I2" s="139"/>
      <c r="J2" s="139"/>
      <c r="K2" s="139"/>
    </row>
    <row r="3" s="129" customFormat="1" ht="14.25" spans="1:11">
      <c r="A3" s="140" t="s">
        <v>2</v>
      </c>
      <c r="B3" s="141"/>
      <c r="C3" s="141"/>
      <c r="D3" s="142"/>
      <c r="E3" s="141"/>
      <c r="F3" s="141"/>
      <c r="G3" s="57" t="s">
        <v>3</v>
      </c>
      <c r="H3" s="57"/>
      <c r="I3" s="175" t="s">
        <v>197</v>
      </c>
      <c r="J3" s="175"/>
      <c r="K3" s="175"/>
    </row>
    <row r="4" ht="18.75" customHeight="1" spans="1:11">
      <c r="A4" s="61" t="s">
        <v>373</v>
      </c>
      <c r="B4" s="61"/>
      <c r="C4" s="61"/>
      <c r="D4" s="143"/>
      <c r="E4" s="61"/>
      <c r="F4" s="61"/>
      <c r="G4" s="61" t="s">
        <v>374</v>
      </c>
      <c r="H4" s="61"/>
      <c r="I4" s="143"/>
      <c r="J4" s="143"/>
      <c r="K4" s="143"/>
    </row>
    <row r="5" s="130" customFormat="1" ht="27" spans="1:11">
      <c r="A5" s="144" t="s">
        <v>164</v>
      </c>
      <c r="B5" s="144" t="s">
        <v>375</v>
      </c>
      <c r="C5" s="145" t="s">
        <v>239</v>
      </c>
      <c r="D5" s="146" t="s">
        <v>376</v>
      </c>
      <c r="E5" s="144" t="s">
        <v>164</v>
      </c>
      <c r="F5" s="147" t="s">
        <v>377</v>
      </c>
      <c r="G5" s="148" t="s">
        <v>378</v>
      </c>
      <c r="H5" s="149" t="s">
        <v>239</v>
      </c>
      <c r="I5" s="176" t="s">
        <v>379</v>
      </c>
      <c r="J5" s="177" t="s">
        <v>380</v>
      </c>
      <c r="K5" s="146" t="s">
        <v>376</v>
      </c>
    </row>
    <row r="6" ht="14.25" spans="1:11">
      <c r="A6" s="150">
        <v>1</v>
      </c>
      <c r="B6" s="151" t="s">
        <v>381</v>
      </c>
      <c r="C6" s="152">
        <v>380.98</v>
      </c>
      <c r="D6" s="153">
        <v>380.98</v>
      </c>
      <c r="E6" s="154">
        <v>1</v>
      </c>
      <c r="F6" s="75" t="s">
        <v>382</v>
      </c>
      <c r="G6" s="75" t="s">
        <v>383</v>
      </c>
      <c r="H6" s="155">
        <v>2000000</v>
      </c>
      <c r="I6" s="178">
        <v>200</v>
      </c>
      <c r="J6" s="179">
        <v>-200</v>
      </c>
      <c r="K6" s="178">
        <f>I6+J6</f>
        <v>0</v>
      </c>
    </row>
    <row r="7" ht="14.25" spans="1:11">
      <c r="A7" s="150">
        <v>2</v>
      </c>
      <c r="B7" s="151" t="s">
        <v>384</v>
      </c>
      <c r="C7" s="152">
        <v>32219.02</v>
      </c>
      <c r="D7" s="153">
        <v>9969.02</v>
      </c>
      <c r="E7" s="154">
        <v>2</v>
      </c>
      <c r="F7" s="95" t="s">
        <v>385</v>
      </c>
      <c r="G7" s="75" t="s">
        <v>383</v>
      </c>
      <c r="H7" s="155">
        <f>16000000+15000000</f>
        <v>31000000</v>
      </c>
      <c r="I7" s="178">
        <v>3100</v>
      </c>
      <c r="J7" s="179">
        <v>-3100</v>
      </c>
      <c r="K7" s="178">
        <f>I7+J7</f>
        <v>0</v>
      </c>
    </row>
    <row r="8" ht="14.25" spans="1:11">
      <c r="A8" s="150">
        <v>3</v>
      </c>
      <c r="B8" s="67"/>
      <c r="C8" s="156"/>
      <c r="D8" s="153"/>
      <c r="E8" s="154">
        <v>3</v>
      </c>
      <c r="F8" s="75" t="s">
        <v>386</v>
      </c>
      <c r="G8" s="75" t="s">
        <v>387</v>
      </c>
      <c r="H8" s="155">
        <v>400000</v>
      </c>
      <c r="I8" s="178">
        <v>40</v>
      </c>
      <c r="J8" s="179"/>
      <c r="K8" s="178">
        <f>I8+J8</f>
        <v>40</v>
      </c>
    </row>
    <row r="9" ht="14.25" spans="1:11">
      <c r="A9" s="150">
        <v>4</v>
      </c>
      <c r="B9" s="67"/>
      <c r="C9" s="156"/>
      <c r="D9" s="153"/>
      <c r="E9" s="154">
        <v>4</v>
      </c>
      <c r="F9" s="75" t="s">
        <v>388</v>
      </c>
      <c r="G9" s="75" t="s">
        <v>389</v>
      </c>
      <c r="H9" s="155">
        <v>14000000</v>
      </c>
      <c r="I9" s="178">
        <v>1400</v>
      </c>
      <c r="J9" s="179">
        <v>-1400</v>
      </c>
      <c r="K9" s="178">
        <f>I9+J9</f>
        <v>0</v>
      </c>
    </row>
    <row r="10" ht="14.25" spans="1:11">
      <c r="A10" s="150">
        <v>5</v>
      </c>
      <c r="B10" s="67"/>
      <c r="C10" s="156"/>
      <c r="D10" s="153"/>
      <c r="E10" s="154">
        <v>5</v>
      </c>
      <c r="F10" s="75" t="s">
        <v>390</v>
      </c>
      <c r="G10" s="75" t="s">
        <v>383</v>
      </c>
      <c r="H10" s="155">
        <v>1000000</v>
      </c>
      <c r="I10" s="178">
        <v>100</v>
      </c>
      <c r="J10" s="179">
        <v>-100</v>
      </c>
      <c r="K10" s="178">
        <f t="shared" ref="K10:K42" si="0">I10+J10</f>
        <v>0</v>
      </c>
    </row>
    <row r="11" ht="14.25" spans="1:11">
      <c r="A11" s="150">
        <v>6</v>
      </c>
      <c r="B11" s="67"/>
      <c r="C11" s="156"/>
      <c r="D11" s="153"/>
      <c r="E11" s="154">
        <v>6</v>
      </c>
      <c r="F11" s="95" t="s">
        <v>391</v>
      </c>
      <c r="G11" s="75" t="s">
        <v>387</v>
      </c>
      <c r="H11" s="155">
        <v>2000000</v>
      </c>
      <c r="I11" s="178">
        <v>200</v>
      </c>
      <c r="J11" s="179">
        <v>-200</v>
      </c>
      <c r="K11" s="178">
        <f t="shared" si="0"/>
        <v>0</v>
      </c>
    </row>
    <row r="12" ht="14.25" spans="1:11">
      <c r="A12" s="150">
        <v>7</v>
      </c>
      <c r="B12" s="67"/>
      <c r="C12" s="156"/>
      <c r="D12" s="153"/>
      <c r="E12" s="154">
        <v>7</v>
      </c>
      <c r="F12" s="95" t="s">
        <v>392</v>
      </c>
      <c r="G12" s="75" t="s">
        <v>393</v>
      </c>
      <c r="H12" s="155">
        <v>10000000</v>
      </c>
      <c r="I12" s="178">
        <v>1000</v>
      </c>
      <c r="J12" s="179">
        <v>-800</v>
      </c>
      <c r="K12" s="178">
        <f t="shared" si="0"/>
        <v>200</v>
      </c>
    </row>
    <row r="13" ht="14.25" spans="1:11">
      <c r="A13" s="150">
        <v>8</v>
      </c>
      <c r="B13" s="67"/>
      <c r="C13" s="156"/>
      <c r="D13" s="153"/>
      <c r="E13" s="154">
        <v>8</v>
      </c>
      <c r="F13" s="95" t="s">
        <v>394</v>
      </c>
      <c r="G13" s="75" t="s">
        <v>395</v>
      </c>
      <c r="H13" s="155">
        <v>10000000</v>
      </c>
      <c r="I13" s="178">
        <v>1000</v>
      </c>
      <c r="J13" s="179">
        <v>-1000</v>
      </c>
      <c r="K13" s="178">
        <f t="shared" si="0"/>
        <v>0</v>
      </c>
    </row>
    <row r="14" ht="14.25" spans="1:11">
      <c r="A14" s="150">
        <v>9</v>
      </c>
      <c r="B14" s="67"/>
      <c r="C14" s="156"/>
      <c r="D14" s="157"/>
      <c r="E14" s="154">
        <v>9</v>
      </c>
      <c r="F14" s="95" t="s">
        <v>396</v>
      </c>
      <c r="G14" s="75" t="s">
        <v>397</v>
      </c>
      <c r="H14" s="155">
        <v>10000000</v>
      </c>
      <c r="I14" s="178">
        <v>1000</v>
      </c>
      <c r="J14" s="179">
        <v>-800</v>
      </c>
      <c r="K14" s="178">
        <f t="shared" si="0"/>
        <v>200</v>
      </c>
    </row>
    <row r="15" ht="14.25" spans="1:11">
      <c r="A15" s="150">
        <v>10</v>
      </c>
      <c r="B15" s="97"/>
      <c r="C15" s="156"/>
      <c r="D15" s="157"/>
      <c r="E15" s="154">
        <v>10</v>
      </c>
      <c r="F15" s="75" t="s">
        <v>398</v>
      </c>
      <c r="G15" s="75" t="s">
        <v>395</v>
      </c>
      <c r="H15" s="155">
        <v>210000</v>
      </c>
      <c r="I15" s="178">
        <v>21</v>
      </c>
      <c r="J15" s="179"/>
      <c r="K15" s="178">
        <f t="shared" si="0"/>
        <v>21</v>
      </c>
    </row>
    <row r="16" ht="28.5" spans="1:11">
      <c r="A16" s="150">
        <v>11</v>
      </c>
      <c r="B16" s="67"/>
      <c r="C16" s="158"/>
      <c r="D16" s="157"/>
      <c r="E16" s="154">
        <v>11</v>
      </c>
      <c r="F16" s="95" t="s">
        <v>399</v>
      </c>
      <c r="G16" s="75" t="s">
        <v>400</v>
      </c>
      <c r="H16" s="155">
        <v>800000</v>
      </c>
      <c r="I16" s="178">
        <v>80</v>
      </c>
      <c r="J16" s="179">
        <v>-80</v>
      </c>
      <c r="K16" s="178">
        <f t="shared" si="0"/>
        <v>0</v>
      </c>
    </row>
    <row r="17" ht="14.25" spans="1:11">
      <c r="A17" s="150">
        <v>12</v>
      </c>
      <c r="B17" s="97"/>
      <c r="C17" s="159"/>
      <c r="D17" s="157"/>
      <c r="E17" s="154">
        <v>12</v>
      </c>
      <c r="F17" s="95" t="s">
        <v>401</v>
      </c>
      <c r="G17" s="75" t="s">
        <v>402</v>
      </c>
      <c r="H17" s="155">
        <v>1000000</v>
      </c>
      <c r="I17" s="178">
        <v>100</v>
      </c>
      <c r="J17" s="179">
        <v>-100</v>
      </c>
      <c r="K17" s="178">
        <f t="shared" si="0"/>
        <v>0</v>
      </c>
    </row>
    <row r="18" ht="28.5" spans="1:11">
      <c r="A18" s="150">
        <v>13</v>
      </c>
      <c r="B18" s="97"/>
      <c r="C18" s="159"/>
      <c r="D18" s="157"/>
      <c r="E18" s="154">
        <v>13</v>
      </c>
      <c r="F18" s="95" t="s">
        <v>403</v>
      </c>
      <c r="G18" s="75" t="s">
        <v>400</v>
      </c>
      <c r="H18" s="155">
        <v>1300000</v>
      </c>
      <c r="I18" s="178">
        <v>130</v>
      </c>
      <c r="J18" s="179">
        <v>-130</v>
      </c>
      <c r="K18" s="178">
        <f t="shared" si="0"/>
        <v>0</v>
      </c>
    </row>
    <row r="19" ht="14.25" spans="1:11">
      <c r="A19" s="150">
        <v>14</v>
      </c>
      <c r="B19" s="97"/>
      <c r="C19" s="159"/>
      <c r="D19" s="157"/>
      <c r="E19" s="154">
        <v>14</v>
      </c>
      <c r="F19" s="95" t="s">
        <v>404</v>
      </c>
      <c r="G19" s="75" t="s">
        <v>402</v>
      </c>
      <c r="H19" s="155">
        <v>1500000</v>
      </c>
      <c r="I19" s="180">
        <v>150</v>
      </c>
      <c r="J19" s="179">
        <v>-150</v>
      </c>
      <c r="K19" s="178">
        <f t="shared" si="0"/>
        <v>0</v>
      </c>
    </row>
    <row r="20" ht="14.25" spans="1:11">
      <c r="A20" s="150">
        <v>15</v>
      </c>
      <c r="B20" s="97"/>
      <c r="C20" s="159"/>
      <c r="D20" s="157"/>
      <c r="E20" s="154">
        <v>15</v>
      </c>
      <c r="F20" s="95" t="s">
        <v>405</v>
      </c>
      <c r="G20" s="75" t="s">
        <v>402</v>
      </c>
      <c r="H20" s="155">
        <v>1500000</v>
      </c>
      <c r="I20" s="178">
        <v>150</v>
      </c>
      <c r="J20" s="179">
        <v>0</v>
      </c>
      <c r="K20" s="178">
        <f t="shared" si="0"/>
        <v>150</v>
      </c>
    </row>
    <row r="21" ht="14.25" spans="1:11">
      <c r="A21" s="150">
        <v>16</v>
      </c>
      <c r="B21" s="97"/>
      <c r="C21" s="159"/>
      <c r="D21" s="157"/>
      <c r="E21" s="154">
        <v>16</v>
      </c>
      <c r="F21" s="95" t="s">
        <v>406</v>
      </c>
      <c r="G21" s="75" t="s">
        <v>402</v>
      </c>
      <c r="H21" s="155">
        <v>1000000</v>
      </c>
      <c r="I21" s="178">
        <v>100</v>
      </c>
      <c r="J21" s="179">
        <v>-100</v>
      </c>
      <c r="K21" s="178">
        <f t="shared" si="0"/>
        <v>0</v>
      </c>
    </row>
    <row r="22" ht="14.25" spans="1:11">
      <c r="A22" s="150">
        <v>17</v>
      </c>
      <c r="B22" s="97"/>
      <c r="C22" s="159"/>
      <c r="D22" s="157"/>
      <c r="E22" s="154">
        <v>17</v>
      </c>
      <c r="F22" s="95" t="s">
        <v>407</v>
      </c>
      <c r="G22" s="75" t="s">
        <v>383</v>
      </c>
      <c r="H22" s="155">
        <v>2000000</v>
      </c>
      <c r="I22" s="178">
        <v>200</v>
      </c>
      <c r="J22" s="179">
        <v>-200</v>
      </c>
      <c r="K22" s="178">
        <f t="shared" si="0"/>
        <v>0</v>
      </c>
    </row>
    <row r="23" ht="14.25" spans="1:11">
      <c r="A23" s="150">
        <v>18</v>
      </c>
      <c r="B23" s="97"/>
      <c r="C23" s="159"/>
      <c r="D23" s="157"/>
      <c r="E23" s="154">
        <v>18</v>
      </c>
      <c r="F23" s="95" t="s">
        <v>408</v>
      </c>
      <c r="G23" s="75" t="s">
        <v>389</v>
      </c>
      <c r="H23" s="155">
        <v>5000000</v>
      </c>
      <c r="I23" s="178">
        <v>500</v>
      </c>
      <c r="J23" s="179">
        <v>-500</v>
      </c>
      <c r="K23" s="178">
        <f t="shared" si="0"/>
        <v>0</v>
      </c>
    </row>
    <row r="24" ht="14.25" spans="1:11">
      <c r="A24" s="150">
        <v>19</v>
      </c>
      <c r="B24" s="97"/>
      <c r="C24" s="156"/>
      <c r="D24" s="157"/>
      <c r="E24" s="154">
        <v>19</v>
      </c>
      <c r="F24" s="70" t="s">
        <v>409</v>
      </c>
      <c r="G24" s="75" t="s">
        <v>387</v>
      </c>
      <c r="H24" s="155">
        <v>500000</v>
      </c>
      <c r="I24" s="178">
        <v>50</v>
      </c>
      <c r="J24" s="179">
        <v>-50</v>
      </c>
      <c r="K24" s="178">
        <f t="shared" si="0"/>
        <v>0</v>
      </c>
    </row>
    <row r="25" ht="14.25" spans="1:11">
      <c r="A25" s="150">
        <v>20</v>
      </c>
      <c r="B25" s="97"/>
      <c r="C25" s="156"/>
      <c r="D25" s="157"/>
      <c r="E25" s="154">
        <v>20</v>
      </c>
      <c r="F25" s="70" t="s">
        <v>410</v>
      </c>
      <c r="G25" s="75" t="s">
        <v>411</v>
      </c>
      <c r="H25" s="155">
        <v>868666.67</v>
      </c>
      <c r="I25" s="178">
        <v>86.87</v>
      </c>
      <c r="J25" s="179">
        <v>-21</v>
      </c>
      <c r="K25" s="178">
        <f t="shared" si="0"/>
        <v>65.87</v>
      </c>
    </row>
    <row r="26" ht="14.25" spans="1:11">
      <c r="A26" s="150">
        <v>21</v>
      </c>
      <c r="B26" s="97"/>
      <c r="C26" s="156"/>
      <c r="D26" s="157"/>
      <c r="E26" s="154">
        <v>21</v>
      </c>
      <c r="F26" s="70" t="s">
        <v>412</v>
      </c>
      <c r="G26" s="75" t="s">
        <v>411</v>
      </c>
      <c r="H26" s="155">
        <v>40560.85</v>
      </c>
      <c r="I26" s="178">
        <v>4.06</v>
      </c>
      <c r="J26" s="179"/>
      <c r="K26" s="178">
        <f t="shared" si="0"/>
        <v>4.06</v>
      </c>
    </row>
    <row r="27" ht="14.25" spans="1:11">
      <c r="A27" s="150">
        <v>22</v>
      </c>
      <c r="B27" s="97"/>
      <c r="C27" s="156"/>
      <c r="D27" s="157"/>
      <c r="E27" s="154">
        <v>22</v>
      </c>
      <c r="F27" s="70" t="s">
        <v>413</v>
      </c>
      <c r="G27" s="75" t="s">
        <v>383</v>
      </c>
      <c r="H27" s="155">
        <v>11090000</v>
      </c>
      <c r="I27" s="178">
        <v>1109</v>
      </c>
      <c r="J27" s="179">
        <v>-100</v>
      </c>
      <c r="K27" s="178">
        <f t="shared" si="0"/>
        <v>1009</v>
      </c>
    </row>
    <row r="28" ht="14.25" spans="1:11">
      <c r="A28" s="150">
        <v>23</v>
      </c>
      <c r="B28" s="97"/>
      <c r="C28" s="156"/>
      <c r="D28" s="157"/>
      <c r="E28" s="154">
        <v>23</v>
      </c>
      <c r="F28" s="70" t="s">
        <v>414</v>
      </c>
      <c r="G28" s="75" t="s">
        <v>383</v>
      </c>
      <c r="H28" s="155">
        <v>800000</v>
      </c>
      <c r="I28" s="181">
        <v>80</v>
      </c>
      <c r="J28" s="179"/>
      <c r="K28" s="178">
        <f t="shared" si="0"/>
        <v>80</v>
      </c>
    </row>
    <row r="29" ht="14.25" spans="1:11">
      <c r="A29" s="150">
        <v>24</v>
      </c>
      <c r="B29" s="97"/>
      <c r="C29" s="156"/>
      <c r="D29" s="157"/>
      <c r="E29" s="154">
        <v>24</v>
      </c>
      <c r="F29" s="70" t="s">
        <v>415</v>
      </c>
      <c r="G29" s="75" t="s">
        <v>411</v>
      </c>
      <c r="H29" s="155">
        <v>650000</v>
      </c>
      <c r="I29" s="178">
        <v>65</v>
      </c>
      <c r="J29" s="179"/>
      <c r="K29" s="178">
        <f t="shared" si="0"/>
        <v>65</v>
      </c>
    </row>
    <row r="30" ht="28.5" spans="1:11">
      <c r="A30" s="150">
        <v>25</v>
      </c>
      <c r="B30" s="97"/>
      <c r="C30" s="156"/>
      <c r="D30" s="157"/>
      <c r="E30" s="154">
        <v>25</v>
      </c>
      <c r="F30" s="70" t="s">
        <v>416</v>
      </c>
      <c r="G30" s="75" t="s">
        <v>400</v>
      </c>
      <c r="H30" s="155">
        <v>1000000</v>
      </c>
      <c r="I30" s="178">
        <v>100</v>
      </c>
      <c r="J30" s="179">
        <v>-100</v>
      </c>
      <c r="K30" s="178">
        <f t="shared" si="0"/>
        <v>0</v>
      </c>
    </row>
    <row r="31" ht="14.25" spans="1:11">
      <c r="A31" s="150">
        <v>26</v>
      </c>
      <c r="B31" s="97"/>
      <c r="C31" s="156"/>
      <c r="D31" s="157"/>
      <c r="E31" s="154">
        <v>26</v>
      </c>
      <c r="F31" s="70" t="s">
        <v>417</v>
      </c>
      <c r="G31" s="75" t="s">
        <v>389</v>
      </c>
      <c r="H31" s="155">
        <v>3000000</v>
      </c>
      <c r="I31" s="178">
        <v>300</v>
      </c>
      <c r="J31" s="179">
        <v>-300</v>
      </c>
      <c r="K31" s="178">
        <f t="shared" si="0"/>
        <v>0</v>
      </c>
    </row>
    <row r="32" ht="28.5" spans="1:11">
      <c r="A32" s="150">
        <v>27</v>
      </c>
      <c r="B32" s="97"/>
      <c r="C32" s="159"/>
      <c r="D32" s="157"/>
      <c r="E32" s="154">
        <v>27</v>
      </c>
      <c r="F32" s="160" t="s">
        <v>418</v>
      </c>
      <c r="G32" s="75" t="s">
        <v>419</v>
      </c>
      <c r="H32" s="155">
        <f>1000000</f>
        <v>1000000</v>
      </c>
      <c r="I32" s="178">
        <v>100</v>
      </c>
      <c r="J32" s="179"/>
      <c r="K32" s="178">
        <f t="shared" si="0"/>
        <v>100</v>
      </c>
    </row>
    <row r="33" ht="14.25" spans="1:11">
      <c r="A33" s="150">
        <v>28</v>
      </c>
      <c r="B33" s="97"/>
      <c r="C33" s="159"/>
      <c r="D33" s="157"/>
      <c r="E33" s="154">
        <v>28</v>
      </c>
      <c r="F33" s="160" t="s">
        <v>420</v>
      </c>
      <c r="G33" s="75" t="s">
        <v>387</v>
      </c>
      <c r="H33" s="155">
        <v>2000000</v>
      </c>
      <c r="I33" s="178">
        <v>200</v>
      </c>
      <c r="J33" s="179">
        <v>-200</v>
      </c>
      <c r="K33" s="178">
        <f t="shared" si="0"/>
        <v>0</v>
      </c>
    </row>
    <row r="34" ht="14.25" spans="1:11">
      <c r="A34" s="150">
        <v>29</v>
      </c>
      <c r="B34" s="97"/>
      <c r="C34" s="159"/>
      <c r="D34" s="157"/>
      <c r="E34" s="154">
        <v>29</v>
      </c>
      <c r="F34" s="160" t="s">
        <v>421</v>
      </c>
      <c r="G34" s="75" t="s">
        <v>387</v>
      </c>
      <c r="H34" s="155">
        <v>2000000</v>
      </c>
      <c r="I34" s="178">
        <v>200</v>
      </c>
      <c r="J34" s="179">
        <v>-200</v>
      </c>
      <c r="K34" s="178">
        <f t="shared" si="0"/>
        <v>0</v>
      </c>
    </row>
    <row r="35" ht="14.25" spans="1:11">
      <c r="A35" s="150">
        <v>30</v>
      </c>
      <c r="B35" s="97"/>
      <c r="C35" s="159"/>
      <c r="D35" s="157"/>
      <c r="E35" s="154">
        <v>30</v>
      </c>
      <c r="F35" s="160" t="s">
        <v>422</v>
      </c>
      <c r="G35" s="75" t="s">
        <v>383</v>
      </c>
      <c r="H35" s="155">
        <v>1000000</v>
      </c>
      <c r="I35" s="178">
        <v>100</v>
      </c>
      <c r="J35" s="179">
        <v>-100</v>
      </c>
      <c r="K35" s="178">
        <f t="shared" si="0"/>
        <v>0</v>
      </c>
    </row>
    <row r="36" ht="14.25" spans="1:11">
      <c r="A36" s="150">
        <v>31</v>
      </c>
      <c r="B36" s="97"/>
      <c r="C36" s="159"/>
      <c r="D36" s="157"/>
      <c r="E36" s="154">
        <v>31</v>
      </c>
      <c r="F36" s="160" t="s">
        <v>423</v>
      </c>
      <c r="G36" s="75" t="s">
        <v>387</v>
      </c>
      <c r="H36" s="155">
        <v>2500000</v>
      </c>
      <c r="I36" s="178">
        <v>250</v>
      </c>
      <c r="J36" s="179">
        <v>-250</v>
      </c>
      <c r="K36" s="178">
        <f t="shared" si="0"/>
        <v>0</v>
      </c>
    </row>
    <row r="37" ht="14.25" spans="1:11">
      <c r="A37" s="150">
        <v>32</v>
      </c>
      <c r="B37" s="97"/>
      <c r="C37" s="159"/>
      <c r="D37" s="157"/>
      <c r="E37" s="154">
        <v>32</v>
      </c>
      <c r="F37" s="160" t="s">
        <v>424</v>
      </c>
      <c r="G37" s="75" t="s">
        <v>387</v>
      </c>
      <c r="H37" s="155">
        <v>2000000</v>
      </c>
      <c r="I37" s="178">
        <v>200</v>
      </c>
      <c r="J37" s="179">
        <v>-200</v>
      </c>
      <c r="K37" s="178">
        <f t="shared" si="0"/>
        <v>0</v>
      </c>
    </row>
    <row r="38" ht="28.5" spans="1:11">
      <c r="A38" s="150">
        <v>33</v>
      </c>
      <c r="B38" s="97"/>
      <c r="C38" s="159"/>
      <c r="D38" s="157"/>
      <c r="E38" s="154">
        <v>33</v>
      </c>
      <c r="F38" s="160" t="s">
        <v>425</v>
      </c>
      <c r="G38" s="75" t="s">
        <v>383</v>
      </c>
      <c r="H38" s="155">
        <v>102000</v>
      </c>
      <c r="I38" s="178">
        <v>10.2</v>
      </c>
      <c r="J38" s="179"/>
      <c r="K38" s="178">
        <f t="shared" si="0"/>
        <v>10.2</v>
      </c>
    </row>
    <row r="39" ht="28.5" spans="1:11">
      <c r="A39" s="150">
        <v>34</v>
      </c>
      <c r="B39" s="97"/>
      <c r="C39" s="159"/>
      <c r="D39" s="157"/>
      <c r="E39" s="154">
        <v>34</v>
      </c>
      <c r="F39" s="160" t="s">
        <v>426</v>
      </c>
      <c r="G39" s="75" t="s">
        <v>383</v>
      </c>
      <c r="H39" s="155">
        <v>200000</v>
      </c>
      <c r="I39" s="178">
        <v>20</v>
      </c>
      <c r="J39" s="179"/>
      <c r="K39" s="178">
        <f t="shared" si="0"/>
        <v>20</v>
      </c>
    </row>
    <row r="40" ht="28.5" spans="1:11">
      <c r="A40" s="150">
        <v>35</v>
      </c>
      <c r="B40" s="97"/>
      <c r="C40" s="159"/>
      <c r="D40" s="157"/>
      <c r="E40" s="154">
        <v>35</v>
      </c>
      <c r="F40" s="160" t="s">
        <v>427</v>
      </c>
      <c r="G40" s="75" t="s">
        <v>383</v>
      </c>
      <c r="H40" s="155">
        <v>446376</v>
      </c>
      <c r="I40" s="178">
        <v>44.64</v>
      </c>
      <c r="J40" s="179"/>
      <c r="K40" s="178">
        <f t="shared" si="0"/>
        <v>44.64</v>
      </c>
    </row>
    <row r="41" ht="28.5" spans="1:11">
      <c r="A41" s="150">
        <v>36</v>
      </c>
      <c r="B41" s="97"/>
      <c r="C41" s="159"/>
      <c r="D41" s="157"/>
      <c r="E41" s="154">
        <v>36</v>
      </c>
      <c r="F41" s="160" t="s">
        <v>428</v>
      </c>
      <c r="G41" s="75" t="s">
        <v>383</v>
      </c>
      <c r="H41" s="155">
        <v>242745</v>
      </c>
      <c r="I41" s="178">
        <v>24.27</v>
      </c>
      <c r="J41" s="179"/>
      <c r="K41" s="178">
        <f t="shared" si="0"/>
        <v>24.27</v>
      </c>
    </row>
    <row r="42" ht="14.25" spans="1:11">
      <c r="A42" s="150">
        <v>37</v>
      </c>
      <c r="B42" s="97"/>
      <c r="C42" s="159"/>
      <c r="D42" s="157"/>
      <c r="E42" s="154">
        <v>37</v>
      </c>
      <c r="F42" s="160" t="s">
        <v>429</v>
      </c>
      <c r="G42" s="75" t="s">
        <v>383</v>
      </c>
      <c r="H42" s="155">
        <v>300000</v>
      </c>
      <c r="I42" s="178">
        <v>30</v>
      </c>
      <c r="J42" s="179"/>
      <c r="K42" s="178">
        <f t="shared" si="0"/>
        <v>30</v>
      </c>
    </row>
    <row r="43" customFormat="1" ht="28.5" spans="1:11">
      <c r="A43" s="150">
        <v>38</v>
      </c>
      <c r="B43" s="97"/>
      <c r="C43" s="159"/>
      <c r="D43" s="157"/>
      <c r="E43" s="154">
        <v>38</v>
      </c>
      <c r="F43" s="70" t="s">
        <v>430</v>
      </c>
      <c r="G43" s="75" t="s">
        <v>400</v>
      </c>
      <c r="H43" s="155">
        <v>929651.48</v>
      </c>
      <c r="I43" s="178">
        <v>92.96</v>
      </c>
      <c r="J43" s="179">
        <f>-69-15</f>
        <v>-84</v>
      </c>
      <c r="K43" s="178">
        <f t="shared" ref="K43:K50" si="1">I43+J43</f>
        <v>8.95999999999999</v>
      </c>
    </row>
    <row r="44" customFormat="1" ht="14.25" spans="1:11">
      <c r="A44" s="150">
        <v>39</v>
      </c>
      <c r="B44" s="97"/>
      <c r="C44" s="159"/>
      <c r="D44" s="157"/>
      <c r="E44" s="154">
        <v>39</v>
      </c>
      <c r="F44" s="70" t="s">
        <v>431</v>
      </c>
      <c r="G44" s="161" t="s">
        <v>432</v>
      </c>
      <c r="H44" s="155">
        <v>50000000</v>
      </c>
      <c r="I44" s="178">
        <v>5000</v>
      </c>
      <c r="J44" s="179">
        <v>-5000</v>
      </c>
      <c r="K44" s="178">
        <f t="shared" si="1"/>
        <v>0</v>
      </c>
    </row>
    <row r="45" customFormat="1" ht="14.25" spans="1:11">
      <c r="A45" s="150">
        <v>40</v>
      </c>
      <c r="B45" s="97"/>
      <c r="C45" s="159"/>
      <c r="D45" s="157"/>
      <c r="E45" s="154">
        <v>40</v>
      </c>
      <c r="F45" s="70" t="s">
        <v>433</v>
      </c>
      <c r="G45" s="161" t="s">
        <v>434</v>
      </c>
      <c r="H45" s="155">
        <v>1915000</v>
      </c>
      <c r="I45" s="178">
        <v>191.5</v>
      </c>
      <c r="J45" s="179"/>
      <c r="K45" s="178">
        <f t="shared" si="1"/>
        <v>191.5</v>
      </c>
    </row>
    <row r="46" customFormat="1" ht="14.25" spans="1:11">
      <c r="A46" s="150">
        <v>41</v>
      </c>
      <c r="B46" s="97"/>
      <c r="C46" s="159"/>
      <c r="D46" s="157"/>
      <c r="E46" s="154">
        <v>41</v>
      </c>
      <c r="F46" s="70" t="s">
        <v>435</v>
      </c>
      <c r="G46" s="161" t="s">
        <v>434</v>
      </c>
      <c r="H46" s="155">
        <v>700000</v>
      </c>
      <c r="I46" s="182">
        <v>70</v>
      </c>
      <c r="J46" s="179"/>
      <c r="K46" s="178">
        <f t="shared" si="1"/>
        <v>70</v>
      </c>
    </row>
    <row r="47" customFormat="1" ht="28.5" spans="1:11">
      <c r="A47" s="150">
        <v>42</v>
      </c>
      <c r="B47" s="97"/>
      <c r="C47" s="159"/>
      <c r="D47" s="157"/>
      <c r="E47" s="154">
        <v>42</v>
      </c>
      <c r="F47" s="70" t="s">
        <v>436</v>
      </c>
      <c r="G47" s="161" t="s">
        <v>437</v>
      </c>
      <c r="H47" s="155">
        <v>5000</v>
      </c>
      <c r="I47" s="182">
        <v>0.5</v>
      </c>
      <c r="J47" s="179"/>
      <c r="K47" s="178">
        <f t="shared" si="1"/>
        <v>0.5</v>
      </c>
    </row>
    <row r="48" ht="28.5" spans="1:11">
      <c r="A48" s="150">
        <v>43</v>
      </c>
      <c r="B48" s="162"/>
      <c r="C48" s="163"/>
      <c r="D48" s="164"/>
      <c r="E48" s="154">
        <v>43</v>
      </c>
      <c r="F48" s="165" t="s">
        <v>438</v>
      </c>
      <c r="G48" s="75" t="s">
        <v>400</v>
      </c>
      <c r="H48" s="155"/>
      <c r="I48" s="183"/>
      <c r="J48" s="184">
        <v>15</v>
      </c>
      <c r="K48" s="178">
        <f t="shared" si="1"/>
        <v>15</v>
      </c>
    </row>
    <row r="49" ht="14.25" spans="1:11">
      <c r="A49" s="150">
        <v>44</v>
      </c>
      <c r="B49" s="162"/>
      <c r="C49" s="163"/>
      <c r="D49" s="164"/>
      <c r="E49" s="154">
        <v>44</v>
      </c>
      <c r="F49" s="95"/>
      <c r="G49" s="75"/>
      <c r="H49" s="155"/>
      <c r="I49" s="183"/>
      <c r="J49" s="184"/>
      <c r="K49" s="185">
        <f t="shared" si="1"/>
        <v>0</v>
      </c>
    </row>
    <row r="50" ht="14.25" spans="1:11">
      <c r="A50" s="150">
        <v>45</v>
      </c>
      <c r="B50" s="166"/>
      <c r="C50" s="167"/>
      <c r="D50" s="168"/>
      <c r="E50" s="154">
        <v>45</v>
      </c>
      <c r="F50" s="85" t="s">
        <v>439</v>
      </c>
      <c r="G50" s="169"/>
      <c r="H50" s="170">
        <f>SUM(H6:H49)</f>
        <v>178000000</v>
      </c>
      <c r="I50" s="186">
        <f>SUM(I6:I49)</f>
        <v>17800</v>
      </c>
      <c r="J50" s="186">
        <f>SUM(J6:J49)</f>
        <v>-15450</v>
      </c>
      <c r="K50" s="186">
        <f>SUM(K6:K49)</f>
        <v>2350</v>
      </c>
    </row>
    <row r="51" ht="14.25" spans="1:11">
      <c r="A51" s="150">
        <v>46</v>
      </c>
      <c r="B51" s="166"/>
      <c r="C51" s="167"/>
      <c r="D51" s="168"/>
      <c r="E51" s="154">
        <v>46</v>
      </c>
      <c r="F51" s="69" t="s">
        <v>440</v>
      </c>
      <c r="G51" s="171"/>
      <c r="H51" s="155">
        <v>148000000</v>
      </c>
      <c r="I51" s="187">
        <v>14800</v>
      </c>
      <c r="J51" s="179">
        <v>-6800</v>
      </c>
      <c r="K51" s="179">
        <f>I51+J51</f>
        <v>8000</v>
      </c>
    </row>
    <row r="52" ht="14.25" spans="1:11">
      <c r="A52" s="150">
        <v>47</v>
      </c>
      <c r="B52" s="172" t="s">
        <v>441</v>
      </c>
      <c r="C52" s="173">
        <f>SUM(C6:C51)</f>
        <v>32600</v>
      </c>
      <c r="D52" s="173">
        <f>SUM(D6:D47)</f>
        <v>10350</v>
      </c>
      <c r="E52" s="154">
        <v>47</v>
      </c>
      <c r="F52" s="172" t="s">
        <v>441</v>
      </c>
      <c r="G52" s="62"/>
      <c r="H52" s="174">
        <f>H50+H51</f>
        <v>326000000</v>
      </c>
      <c r="I52" s="188">
        <f>I50+I51</f>
        <v>32600</v>
      </c>
      <c r="J52" s="188">
        <f>J50+J51</f>
        <v>-22250</v>
      </c>
      <c r="K52" s="188">
        <f>K50+K51</f>
        <v>10350</v>
      </c>
    </row>
  </sheetData>
  <autoFilter ref="A5:K52">
    <extLst/>
  </autoFilter>
  <mergeCells count="6">
    <mergeCell ref="A2:K2"/>
    <mergeCell ref="A3:E3"/>
    <mergeCell ref="G3:H3"/>
    <mergeCell ref="I3:K3"/>
    <mergeCell ref="A4:F4"/>
    <mergeCell ref="G4:K4"/>
  </mergeCells>
  <pageMargins left="0.196527777777778" right="0.209027777777778" top="0.729166666666667" bottom="0.159027777777778" header="0.313888888888889" footer="0.259027777777778"/>
  <pageSetup paperSize="9" orientation="landscape" horizontalDpi="2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B9" sqref="B9"/>
    </sheetView>
  </sheetViews>
  <sheetFormatPr defaultColWidth="9" defaultRowHeight="13.5" outlineLevelCol="3"/>
  <cols>
    <col min="1" max="1" width="6.25" customWidth="1"/>
    <col min="2" max="2" width="27.75" customWidth="1"/>
    <col min="3" max="3" width="71.375" style="105" customWidth="1"/>
    <col min="4" max="4" width="15.875" style="106" customWidth="1"/>
  </cols>
  <sheetData>
    <row r="1" ht="26.25" customHeight="1" spans="1:1">
      <c r="A1" t="s">
        <v>442</v>
      </c>
    </row>
    <row r="2" ht="25.5" spans="1:4">
      <c r="A2" s="107" t="s">
        <v>196</v>
      </c>
      <c r="B2" s="107"/>
      <c r="C2" s="107"/>
      <c r="D2" s="108"/>
    </row>
    <row r="3" ht="26.25" customHeight="1" spans="1:4">
      <c r="A3" s="109" t="s">
        <v>163</v>
      </c>
      <c r="B3" s="109"/>
      <c r="C3" s="110" t="s">
        <v>3</v>
      </c>
      <c r="D3" s="111" t="s">
        <v>197</v>
      </c>
    </row>
    <row r="4" s="104" customFormat="1" ht="18.75" spans="1:4">
      <c r="A4" s="112" t="s">
        <v>164</v>
      </c>
      <c r="B4" s="112" t="s">
        <v>198</v>
      </c>
      <c r="C4" s="112" t="s">
        <v>199</v>
      </c>
      <c r="D4" s="113" t="s">
        <v>200</v>
      </c>
    </row>
    <row r="5" s="104" customFormat="1" ht="28.5" spans="1:4">
      <c r="A5" s="114">
        <v>1</v>
      </c>
      <c r="B5" s="115" t="s">
        <v>201</v>
      </c>
      <c r="C5" s="116" t="s">
        <v>443</v>
      </c>
      <c r="D5" s="117">
        <v>5000</v>
      </c>
    </row>
    <row r="6" s="104" customFormat="1" ht="18.75" spans="1:4">
      <c r="A6" s="114">
        <v>2</v>
      </c>
      <c r="B6" s="118"/>
      <c r="C6" s="119" t="s">
        <v>444</v>
      </c>
      <c r="D6" s="117">
        <v>5000</v>
      </c>
    </row>
    <row r="7" s="104" customFormat="1" ht="18.75" spans="1:4">
      <c r="A7" s="114">
        <v>3</v>
      </c>
      <c r="B7" s="120" t="s">
        <v>445</v>
      </c>
      <c r="C7" s="116" t="s">
        <v>446</v>
      </c>
      <c r="D7" s="117">
        <v>22</v>
      </c>
    </row>
    <row r="8" s="104" customFormat="1" ht="18.75" spans="1:4">
      <c r="A8" s="114">
        <v>4</v>
      </c>
      <c r="B8" s="120" t="s">
        <v>447</v>
      </c>
      <c r="C8" s="116" t="s">
        <v>448</v>
      </c>
      <c r="D8" s="117">
        <v>116</v>
      </c>
    </row>
    <row r="9" s="104" customFormat="1" ht="28.5" spans="1:4">
      <c r="A9" s="114">
        <v>5</v>
      </c>
      <c r="B9" s="120" t="s">
        <v>449</v>
      </c>
      <c r="C9" s="116" t="s">
        <v>450</v>
      </c>
      <c r="D9" s="117">
        <v>749</v>
      </c>
    </row>
    <row r="10" s="104" customFormat="1" ht="18.75" spans="1:4">
      <c r="A10" s="114">
        <v>6</v>
      </c>
      <c r="B10" s="120" t="s">
        <v>217</v>
      </c>
      <c r="C10" s="116" t="s">
        <v>451</v>
      </c>
      <c r="D10" s="117">
        <v>169</v>
      </c>
    </row>
    <row r="11" s="104" customFormat="1" ht="28.5" spans="1:4">
      <c r="A11" s="114">
        <v>7</v>
      </c>
      <c r="B11" s="120" t="s">
        <v>449</v>
      </c>
      <c r="C11" s="116" t="s">
        <v>452</v>
      </c>
      <c r="D11" s="117">
        <v>235</v>
      </c>
    </row>
    <row r="12" s="104" customFormat="1" ht="18.75" spans="1:4">
      <c r="A12" s="114">
        <v>8</v>
      </c>
      <c r="B12" s="120" t="s">
        <v>209</v>
      </c>
      <c r="C12" s="116" t="s">
        <v>453</v>
      </c>
      <c r="D12" s="117">
        <v>120</v>
      </c>
    </row>
    <row r="13" s="104" customFormat="1" ht="18.75" spans="1:4">
      <c r="A13" s="114">
        <v>9</v>
      </c>
      <c r="B13" s="120" t="s">
        <v>454</v>
      </c>
      <c r="C13" s="116" t="s">
        <v>455</v>
      </c>
      <c r="D13" s="117">
        <v>20</v>
      </c>
    </row>
    <row r="14" s="104" customFormat="1" ht="18.75" spans="1:4">
      <c r="A14" s="114">
        <v>10</v>
      </c>
      <c r="B14" s="116"/>
      <c r="C14" s="119" t="s">
        <v>456</v>
      </c>
      <c r="D14" s="117">
        <f>SUM(D7:D13)</f>
        <v>1431</v>
      </c>
    </row>
    <row r="15" ht="14.25" spans="1:4">
      <c r="A15" s="114">
        <v>11</v>
      </c>
      <c r="B15" s="121"/>
      <c r="C15" s="119"/>
      <c r="D15" s="122"/>
    </row>
    <row r="16" ht="14.25" spans="1:4">
      <c r="A16" s="114">
        <v>12</v>
      </c>
      <c r="B16" s="123"/>
      <c r="C16" s="124"/>
      <c r="D16" s="122"/>
    </row>
    <row r="17" ht="14.25" spans="1:4">
      <c r="A17" s="114">
        <v>13</v>
      </c>
      <c r="B17" s="121"/>
      <c r="C17" s="125"/>
      <c r="D17" s="122"/>
    </row>
    <row r="18" ht="14.25" spans="1:4">
      <c r="A18" s="80"/>
      <c r="B18" s="126" t="s">
        <v>457</v>
      </c>
      <c r="C18" s="127"/>
      <c r="D18" s="128">
        <f>D6+D14</f>
        <v>6431</v>
      </c>
    </row>
  </sheetData>
  <mergeCells count="3">
    <mergeCell ref="A2:D2"/>
    <mergeCell ref="A3:B3"/>
    <mergeCell ref="B18:C18"/>
  </mergeCells>
  <pageMargins left="0.94375" right="0.393055555555556" top="0.708333333333333" bottom="0.156944444444444" header="0.379166666666667" footer="0.314583333333333"/>
  <pageSetup paperSize="9" orientation="landscape" horizontalDpi="2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9" defaultRowHeight="13.5" outlineLevelCol="7"/>
  <cols>
    <col min="1" max="1" width="3.75" customWidth="1"/>
    <col min="2" max="2" width="19.375" customWidth="1"/>
    <col min="3" max="3" width="15.375" customWidth="1"/>
    <col min="4" max="4" width="16.625" customWidth="1"/>
    <col min="5" max="5" width="24.875" customWidth="1"/>
    <col min="6" max="6" width="18.5" customWidth="1"/>
    <col min="7" max="7" width="15.375" customWidth="1"/>
    <col min="8" max="8" width="15.75" customWidth="1"/>
  </cols>
  <sheetData>
    <row r="1" spans="1:1">
      <c r="A1" t="s">
        <v>458</v>
      </c>
    </row>
    <row r="2" ht="22.5" spans="1:8">
      <c r="A2" s="90" t="s">
        <v>459</v>
      </c>
      <c r="B2" s="90"/>
      <c r="C2" s="90"/>
      <c r="D2" s="90"/>
      <c r="E2" s="90"/>
      <c r="F2" s="90"/>
      <c r="G2" s="90"/>
      <c r="H2" s="90"/>
    </row>
    <row r="3" ht="14.25" spans="1:8">
      <c r="A3" s="55" t="s">
        <v>460</v>
      </c>
      <c r="B3" s="56"/>
      <c r="C3" s="56"/>
      <c r="D3" s="91"/>
      <c r="E3" s="57" t="s">
        <v>461</v>
      </c>
      <c r="F3" s="57"/>
      <c r="G3" s="57"/>
      <c r="H3" s="92" t="s">
        <v>462</v>
      </c>
    </row>
    <row r="4" ht="14.25" spans="1:8">
      <c r="A4" s="59" t="s">
        <v>373</v>
      </c>
      <c r="B4" s="60"/>
      <c r="C4" s="60"/>
      <c r="D4" s="60"/>
      <c r="E4" s="61" t="s">
        <v>374</v>
      </c>
      <c r="F4" s="62"/>
      <c r="G4" s="62"/>
      <c r="H4" s="62"/>
    </row>
    <row r="5" ht="28.5" spans="1:8">
      <c r="A5" s="63" t="s">
        <v>164</v>
      </c>
      <c r="B5" s="63" t="s">
        <v>375</v>
      </c>
      <c r="C5" s="64" t="s">
        <v>463</v>
      </c>
      <c r="D5" s="64" t="s">
        <v>464</v>
      </c>
      <c r="E5" s="93" t="s">
        <v>377</v>
      </c>
      <c r="F5" s="61" t="s">
        <v>378</v>
      </c>
      <c r="G5" s="64" t="s">
        <v>463</v>
      </c>
      <c r="H5" s="64" t="s">
        <v>464</v>
      </c>
    </row>
    <row r="6" ht="28.5" spans="1:8">
      <c r="A6" s="69">
        <v>1</v>
      </c>
      <c r="B6" s="67" t="s">
        <v>381</v>
      </c>
      <c r="C6" s="68">
        <v>1847838.24</v>
      </c>
      <c r="D6" s="68">
        <v>1847838.24</v>
      </c>
      <c r="E6" s="75" t="s">
        <v>465</v>
      </c>
      <c r="F6" s="75" t="s">
        <v>466</v>
      </c>
      <c r="G6" s="94">
        <v>2700000</v>
      </c>
      <c r="H6" s="94"/>
    </row>
    <row r="7" ht="14.25" spans="1:8">
      <c r="A7" s="69">
        <v>2</v>
      </c>
      <c r="B7" s="67" t="s">
        <v>467</v>
      </c>
      <c r="C7" s="68">
        <v>1152161.76</v>
      </c>
      <c r="D7" s="68"/>
      <c r="E7" s="70" t="s">
        <v>468</v>
      </c>
      <c r="F7" s="95" t="s">
        <v>469</v>
      </c>
      <c r="G7" s="94">
        <v>300000</v>
      </c>
      <c r="H7" s="94"/>
    </row>
    <row r="8" ht="14.25" spans="1:8">
      <c r="A8" s="96"/>
      <c r="B8" s="97"/>
      <c r="C8" s="68"/>
      <c r="D8" s="68"/>
      <c r="E8" s="75"/>
      <c r="F8" s="75"/>
      <c r="G8" s="98"/>
      <c r="H8" s="98"/>
    </row>
    <row r="9" ht="14.25" spans="1:8">
      <c r="A9" s="96"/>
      <c r="B9" s="67"/>
      <c r="C9" s="99"/>
      <c r="D9" s="99"/>
      <c r="E9" s="75"/>
      <c r="F9" s="75"/>
      <c r="G9" s="98"/>
      <c r="H9" s="98"/>
    </row>
    <row r="10" ht="14.25" spans="1:8">
      <c r="A10" s="96"/>
      <c r="B10" s="67"/>
      <c r="C10" s="100"/>
      <c r="D10" s="100"/>
      <c r="E10" s="75"/>
      <c r="F10" s="75"/>
      <c r="G10" s="98"/>
      <c r="H10" s="98"/>
    </row>
    <row r="11" ht="14.25" spans="1:8">
      <c r="A11" s="96"/>
      <c r="B11" s="97"/>
      <c r="C11" s="101"/>
      <c r="D11" s="101"/>
      <c r="E11" s="75"/>
      <c r="F11" s="75"/>
      <c r="G11" s="98"/>
      <c r="H11" s="98"/>
    </row>
    <row r="12" ht="14.25" spans="1:8">
      <c r="A12" s="96"/>
      <c r="B12" s="97"/>
      <c r="C12" s="68"/>
      <c r="D12" s="68"/>
      <c r="E12" s="75" t="s">
        <v>470</v>
      </c>
      <c r="F12" s="75"/>
      <c r="G12" s="98"/>
      <c r="H12" s="68">
        <v>1847838.24</v>
      </c>
    </row>
    <row r="13" ht="14.25" spans="1:8">
      <c r="A13" s="80"/>
      <c r="B13" s="61" t="s">
        <v>457</v>
      </c>
      <c r="C13" s="102">
        <f>SUM(C6:C12)</f>
        <v>3000000</v>
      </c>
      <c r="D13" s="102">
        <f>SUM(D6:D12)</f>
        <v>1847838.24</v>
      </c>
      <c r="E13" s="61" t="s">
        <v>471</v>
      </c>
      <c r="F13" s="62"/>
      <c r="G13" s="103">
        <f>SUM(G6:G12)</f>
        <v>3000000</v>
      </c>
      <c r="H13" s="103">
        <f>SUM(H6:H12)</f>
        <v>1847838.24</v>
      </c>
    </row>
  </sheetData>
  <mergeCells count="5">
    <mergeCell ref="A2:H2"/>
    <mergeCell ref="A3:C3"/>
    <mergeCell ref="E3:F3"/>
    <mergeCell ref="A4:C4"/>
    <mergeCell ref="E4:H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H29" sqref="H29"/>
    </sheetView>
  </sheetViews>
  <sheetFormatPr defaultColWidth="9" defaultRowHeight="13.5"/>
  <cols>
    <col min="1" max="1" width="3.625" customWidth="1"/>
    <col min="2" max="2" width="22" customWidth="1"/>
    <col min="3" max="3" width="15.75" customWidth="1"/>
    <col min="4" max="4" width="15.25" customWidth="1"/>
    <col min="5" max="5" width="3.875" customWidth="1"/>
    <col min="6" max="6" width="32.5" customWidth="1"/>
    <col min="7" max="7" width="11.75" customWidth="1"/>
    <col min="8" max="8" width="16.375" customWidth="1"/>
    <col min="9" max="9" width="15.875" customWidth="1"/>
  </cols>
  <sheetData>
    <row r="1" ht="14.25" spans="1:8">
      <c r="A1" s="3" t="s">
        <v>472</v>
      </c>
      <c r="B1" s="3"/>
      <c r="C1" s="3"/>
      <c r="D1" s="3"/>
      <c r="E1" s="3"/>
      <c r="F1" s="3"/>
      <c r="G1" s="3"/>
      <c r="H1" s="53"/>
    </row>
    <row r="2" ht="20.25" spans="1:9">
      <c r="A2" s="54" t="s">
        <v>473</v>
      </c>
      <c r="B2" s="54"/>
      <c r="C2" s="54"/>
      <c r="D2" s="54"/>
      <c r="E2" s="54"/>
      <c r="F2" s="54"/>
      <c r="G2" s="54"/>
      <c r="H2" s="54"/>
      <c r="I2" s="87"/>
    </row>
    <row r="3" ht="14.25" spans="1:9">
      <c r="A3" s="55" t="s">
        <v>460</v>
      </c>
      <c r="B3" s="56"/>
      <c r="C3" s="56"/>
      <c r="D3" s="56"/>
      <c r="E3" s="57" t="s">
        <v>3</v>
      </c>
      <c r="F3" s="57"/>
      <c r="G3" s="58" t="s">
        <v>462</v>
      </c>
      <c r="H3" s="58"/>
      <c r="I3" s="88"/>
    </row>
    <row r="4" ht="14.25" spans="1:9">
      <c r="A4" s="59" t="s">
        <v>373</v>
      </c>
      <c r="B4" s="60"/>
      <c r="C4" s="60"/>
      <c r="D4" s="60"/>
      <c r="E4" s="61" t="s">
        <v>374</v>
      </c>
      <c r="F4" s="61"/>
      <c r="G4" s="62"/>
      <c r="H4" s="62"/>
      <c r="I4" s="86"/>
    </row>
    <row r="5" ht="28.5" spans="1:9">
      <c r="A5" s="63" t="s">
        <v>164</v>
      </c>
      <c r="B5" s="63" t="s">
        <v>375</v>
      </c>
      <c r="C5" s="63" t="s">
        <v>379</v>
      </c>
      <c r="D5" s="64" t="s">
        <v>474</v>
      </c>
      <c r="E5" s="63" t="s">
        <v>164</v>
      </c>
      <c r="F5" s="65" t="s">
        <v>377</v>
      </c>
      <c r="G5" s="63" t="s">
        <v>378</v>
      </c>
      <c r="H5" s="63" t="s">
        <v>379</v>
      </c>
      <c r="I5" s="64" t="s">
        <v>474</v>
      </c>
    </row>
    <row r="6" ht="28.5" spans="1:9">
      <c r="A6" s="66">
        <v>1</v>
      </c>
      <c r="B6" s="67" t="s">
        <v>381</v>
      </c>
      <c r="C6" s="68">
        <v>3882293.11</v>
      </c>
      <c r="D6" s="68">
        <v>3882293.11</v>
      </c>
      <c r="E6" s="69">
        <v>1</v>
      </c>
      <c r="F6" s="70" t="s">
        <v>475</v>
      </c>
      <c r="G6" s="71" t="s">
        <v>476</v>
      </c>
      <c r="H6" s="72">
        <v>1400000</v>
      </c>
      <c r="I6" s="89">
        <v>1600000</v>
      </c>
    </row>
    <row r="7" ht="28.5" spans="1:9">
      <c r="A7" s="69">
        <v>2</v>
      </c>
      <c r="B7" s="73" t="s">
        <v>477</v>
      </c>
      <c r="C7" s="74">
        <v>692906.89</v>
      </c>
      <c r="D7" s="68">
        <f>I13-D6</f>
        <v>892906.89</v>
      </c>
      <c r="E7" s="69">
        <v>2</v>
      </c>
      <c r="F7" s="75" t="s">
        <v>478</v>
      </c>
      <c r="G7" s="71" t="s">
        <v>479</v>
      </c>
      <c r="H7" s="68">
        <v>3175200</v>
      </c>
      <c r="I7" s="68">
        <v>3175200</v>
      </c>
    </row>
    <row r="8" ht="14.25" spans="1:9">
      <c r="A8" s="76"/>
      <c r="B8" s="77"/>
      <c r="C8" s="77"/>
      <c r="D8" s="78"/>
      <c r="E8" s="76"/>
      <c r="F8" s="76"/>
      <c r="G8" s="79"/>
      <c r="H8" s="79"/>
      <c r="I8" s="68"/>
    </row>
    <row r="9" ht="14.25" spans="1:9">
      <c r="A9" s="80"/>
      <c r="B9" s="77"/>
      <c r="C9" s="77"/>
      <c r="D9" s="81"/>
      <c r="E9" s="76"/>
      <c r="F9" s="76"/>
      <c r="G9" s="79"/>
      <c r="H9" s="79"/>
      <c r="I9" s="68"/>
    </row>
    <row r="10" ht="14.25" spans="1:9">
      <c r="A10" s="80"/>
      <c r="B10" s="77"/>
      <c r="C10" s="77"/>
      <c r="D10" s="82"/>
      <c r="E10" s="76"/>
      <c r="F10" s="76"/>
      <c r="G10" s="76"/>
      <c r="H10" s="76"/>
      <c r="I10" s="68"/>
    </row>
    <row r="11" ht="14.25" spans="1:9">
      <c r="A11" s="80"/>
      <c r="B11" s="83"/>
      <c r="C11" s="83"/>
      <c r="D11" s="84"/>
      <c r="E11" s="76"/>
      <c r="F11" s="76"/>
      <c r="G11" s="76"/>
      <c r="H11" s="76"/>
      <c r="I11" s="68"/>
    </row>
    <row r="12" ht="14.25" spans="1:9">
      <c r="A12" s="80"/>
      <c r="B12" s="83"/>
      <c r="C12" s="83"/>
      <c r="D12" s="78"/>
      <c r="E12" s="76"/>
      <c r="F12" s="76"/>
      <c r="G12" s="76"/>
      <c r="H12" s="76"/>
      <c r="I12" s="68"/>
    </row>
    <row r="13" ht="14.25" spans="1:9">
      <c r="A13" s="80"/>
      <c r="B13" s="85" t="s">
        <v>457</v>
      </c>
      <c r="C13" s="74">
        <f>SUM(C6:C12)</f>
        <v>4575200</v>
      </c>
      <c r="D13" s="74">
        <f>SUM(D6:D12)</f>
        <v>4775200</v>
      </c>
      <c r="E13" s="85"/>
      <c r="F13" s="85" t="s">
        <v>457</v>
      </c>
      <c r="G13" s="62"/>
      <c r="H13" s="86">
        <f>SUM(H6:H12)</f>
        <v>4575200</v>
      </c>
      <c r="I13" s="86">
        <f>SUM(I6:I12)</f>
        <v>4775200</v>
      </c>
    </row>
  </sheetData>
  <mergeCells count="6">
    <mergeCell ref="A2:I2"/>
    <mergeCell ref="A3:D3"/>
    <mergeCell ref="E3:F3"/>
    <mergeCell ref="G3:I3"/>
    <mergeCell ref="A4:D4"/>
    <mergeCell ref="E4:I4"/>
  </mergeCells>
  <pageMargins left="0.354166666666667" right="0.156944444444444"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一般预算收支调整总表</vt:lpstr>
      <vt:lpstr>一般公共预算收入调整表</vt:lpstr>
      <vt:lpstr>新增政府一般债券资金安排</vt:lpstr>
      <vt:lpstr>预备费使用情况表</vt:lpstr>
      <vt:lpstr>政府性基金预算调整表</vt:lpstr>
      <vt:lpstr>土地出让金基金预算</vt:lpstr>
      <vt:lpstr>政府专项债券资金安排</vt:lpstr>
      <vt:lpstr>污水处理费预算调整表</vt:lpstr>
      <vt:lpstr>城市基础设施配套费</vt:lpstr>
      <vt:lpstr>机关事业单位养老保险基金预算调整</vt:lpstr>
      <vt:lpstr>城乡居民养老保险基金预算调整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2024-02-23T07:58:26Z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ubyTemplateID" linkTarget="0">
    <vt:lpwstr>14</vt:lpwstr>
  </property>
  <property fmtid="{D5CDD505-2E9C-101B-9397-08002B2CF9AE}" pid="4" name="ICV">
    <vt:lpwstr>AED4A9AB98F04D81AB6504A63D42C3B1_13</vt:lpwstr>
  </property>
</Properties>
</file>