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761" activeTab="11"/>
  </bookViews>
  <sheets>
    <sheet name="封面" sheetId="8" r:id="rId1"/>
    <sheet name="目录" sheetId="9" r:id="rId2"/>
    <sheet name="表一" sheetId="12" r:id="rId3"/>
    <sheet name="表二" sheetId="48" r:id="rId4"/>
    <sheet name="表三" sheetId="18" r:id="rId5"/>
    <sheet name="表四" sheetId="6" r:id="rId6"/>
    <sheet name="表五" sheetId="5" r:id="rId7"/>
    <sheet name="表六 (1)" sheetId="26" r:id="rId8"/>
    <sheet name="表六（2)" sheetId="23" r:id="rId9"/>
    <sheet name="表七" sheetId="53" r:id="rId10"/>
    <sheet name="表八" sheetId="11" r:id="rId11"/>
    <sheet name="表九" sheetId="36" r:id="rId12"/>
    <sheet name="表十" sheetId="10" r:id="rId13"/>
    <sheet name="表十一" sheetId="49" r:id="rId14"/>
    <sheet name="表十二" sheetId="50" r:id="rId15"/>
    <sheet name="表十三" sheetId="51" r:id="rId16"/>
    <sheet name="表十四" sheetId="52" r:id="rId17"/>
  </sheets>
  <externalReferences>
    <externalReference r:id="rId19"/>
  </externalReferences>
  <definedNames>
    <definedName name="_xlnm._FilterDatabase" localSheetId="5" hidden="1">表四!$A$5:$J$216</definedName>
    <definedName name="_xlnm._FilterDatabase" localSheetId="3" hidden="1">表二!$A$5:$H$1250</definedName>
    <definedName name="_xlnm.Print_Titles" localSheetId="10">表八!$2:$6</definedName>
    <definedName name="_xlnm.Print_Titles" localSheetId="3">表二!$2:$5</definedName>
    <definedName name="_xlnm.Print_Titles" localSheetId="7">'表六 (1)'!$A:$A,'表六 (1)'!$2:$6</definedName>
    <definedName name="_xlnm.Print_Titles" localSheetId="8">'表六（2)'!$A:$A,'表六（2)'!$2:$5</definedName>
    <definedName name="_xlnm.Print_Titles" localSheetId="4">表三!$2:$6</definedName>
    <definedName name="_xlnm.Print_Titles" localSheetId="12">表十!$1:$5</definedName>
    <definedName name="_xlnm.Print_Titles" localSheetId="14">表十二!$2:$6</definedName>
    <definedName name="_xlnm.Print_Titles" localSheetId="15">表十三!$2:$7</definedName>
    <definedName name="_xlnm.Print_Titles" localSheetId="16">表十四!$2:$4</definedName>
    <definedName name="_xlnm.Print_Titles" localSheetId="5">表四!$2:$5</definedName>
    <definedName name="_xlnm.Print_Titles" localSheetId="6">表五!$B:$B,表五!$2:$4</definedName>
    <definedName name="_xlnm.Print_Titles" localSheetId="2">表一!$2:$5</definedName>
    <definedName name="地区名称" localSheetId="1">目录!#REF!</definedName>
    <definedName name="地区名称">封面!$B$2:$B$6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<sst xmlns="http://schemas.openxmlformats.org/spreadsheetml/2006/main" count="2933" uniqueCount="1842">
  <si>
    <t>附件2</t>
  </si>
  <si>
    <t>地区名称</t>
  </si>
  <si>
    <t>北京市</t>
  </si>
  <si>
    <t>2022年地方财政预算表</t>
  </si>
  <si>
    <t>天津市</t>
  </si>
  <si>
    <t xml:space="preserve"> </t>
  </si>
  <si>
    <t>河北省</t>
  </si>
  <si>
    <t>山西省</t>
  </si>
  <si>
    <t>内蒙古自治区</t>
  </si>
  <si>
    <t>目  录</t>
  </si>
  <si>
    <t xml:space="preserve">            表一 2022年一般公共预算收入表</t>
  </si>
  <si>
    <t xml:space="preserve">            表二 2022年一般公共预算支出表</t>
  </si>
  <si>
    <t xml:space="preserve">            表三 2022年一般公共预算收支平衡表</t>
  </si>
  <si>
    <t xml:space="preserve">            表四 2022年一般公共预算支出资金来源表</t>
  </si>
  <si>
    <t xml:space="preserve">            表五 2022年一般公共预算支出经济分类表</t>
  </si>
  <si>
    <t xml:space="preserve">            表六 2022年地市县一般公共预算收支表</t>
  </si>
  <si>
    <t xml:space="preserve">            表七 2022年一般公共预算支出“三公”经费预算表</t>
  </si>
  <si>
    <t xml:space="preserve">            表八 2022年政府性基金预算收支表</t>
  </si>
  <si>
    <t xml:space="preserve">            表九 2022年政府性基金调入专项收入预算表</t>
  </si>
  <si>
    <t xml:space="preserve">            表十 2022年政府性基金预算支出资金来源表</t>
  </si>
  <si>
    <t xml:space="preserve">            表十一 2022年国有资本经营预算收支表</t>
  </si>
  <si>
    <t xml:space="preserve">            表十二 2022年国有资本经营预算收入表</t>
  </si>
  <si>
    <t xml:space="preserve">            表十三 2022年国有资本经营预算支出表</t>
  </si>
  <si>
    <t xml:space="preserve">            表十四 2022年国有资本经营预算基础信息表</t>
  </si>
  <si>
    <t>表一</t>
  </si>
  <si>
    <t>2022年一般公共预算收入表</t>
  </si>
  <si>
    <t>单位：万元</t>
  </si>
  <si>
    <t>项目</t>
  </si>
  <si>
    <t>上年预算数</t>
  </si>
  <si>
    <t>上年执行数</t>
  </si>
  <si>
    <t>预算数</t>
  </si>
  <si>
    <t>公式</t>
  </si>
  <si>
    <t>代码</t>
  </si>
  <si>
    <t>名称</t>
  </si>
  <si>
    <t>金额</t>
  </si>
  <si>
    <t>为上年预算数的%</t>
  </si>
  <si>
    <t>为上年执行数的%</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</si>
  <si>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</si>
  <si>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</si>
  <si>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</si>
  <si>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</si>
  <si>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</si>
  <si>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</si>
  <si>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</si>
  <si>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</si>
  <si>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</si>
  <si>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</si>
  <si>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</si>
  <si>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</si>
  <si>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</si>
  <si>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</si>
  <si>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</si>
  <si>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</si>
  <si>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</si>
  <si>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</si>
  <si>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</si>
  <si>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</si>
  <si>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</si>
  <si>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</si>
  <si>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</si>
  <si>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</si>
  <si>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</si>
  <si>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</si>
  <si>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</si>
  <si>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表二</t>
  </si>
  <si>
    <t>2022年一般公共预算支出表</t>
  </si>
  <si>
    <t>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</si>
  <si>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</si>
  <si>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</si>
  <si>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</si>
  <si>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</si>
  <si>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</si>
  <si>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</si>
  <si>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</si>
  <si>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</si>
  <si>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</si>
  <si>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</si>
  <si>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</si>
  <si>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</si>
  <si>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</si>
  <si>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</si>
  <si>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</si>
  <si>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</si>
  <si>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</si>
  <si>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</si>
  <si>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</si>
  <si>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</si>
  <si>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</si>
  <si>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</si>
  <si>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</si>
  <si>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</si>
  <si>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</si>
  <si>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</si>
  <si>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</si>
  <si>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</si>
  <si>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</si>
  <si>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</si>
  <si>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</si>
  <si>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</si>
  <si>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</si>
  <si>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</si>
  <si>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</si>
  <si>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</si>
  <si>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</si>
  <si>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</si>
  <si>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</si>
  <si>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</si>
  <si>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</si>
  <si>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</si>
  <si>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</si>
  <si>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</si>
  <si>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</si>
  <si>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</si>
  <si>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</si>
  <si>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</si>
  <si>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</si>
  <si>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</si>
  <si>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</si>
  <si>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</si>
  <si>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</si>
  <si>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</si>
  <si>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</si>
  <si>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</si>
  <si>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</si>
  <si>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</si>
  <si>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</si>
  <si>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</si>
  <si>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</si>
  <si>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</si>
  <si>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</si>
  <si>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</si>
  <si>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</si>
  <si>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</si>
  <si>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</si>
  <si>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</si>
  <si>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</si>
  <si>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</si>
  <si>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</si>
  <si>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</si>
  <si>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</si>
  <si>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</si>
  <si>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</si>
  <si>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</si>
  <si>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</si>
  <si>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</si>
  <si>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</si>
  <si>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</si>
  <si>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</si>
  <si>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</si>
  <si>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</si>
  <si>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</si>
  <si>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</si>
  <si>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</si>
  <si>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</si>
  <si>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</si>
  <si>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</si>
  <si>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</si>
  <si>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</si>
  <si>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</si>
  <si>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</si>
  <si>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</si>
  <si>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</si>
  <si>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</si>
  <si>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</si>
  <si>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</si>
  <si>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</si>
  <si>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</si>
  <si>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</si>
  <si>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</si>
  <si>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</si>
  <si>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</si>
  <si>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</si>
  <si>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</si>
  <si>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</si>
  <si>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</si>
  <si>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</si>
  <si>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</si>
  <si>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</si>
  <si>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</si>
  <si>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</si>
  <si>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</si>
  <si>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</si>
  <si>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</si>
  <si>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</si>
  <si>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</si>
  <si>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</si>
  <si>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</si>
  <si>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</si>
  <si>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</si>
  <si>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</si>
  <si>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</si>
  <si>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</si>
  <si>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</si>
  <si>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</si>
  <si>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</si>
  <si>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外交支出</t>
  </si>
  <si>
    <t xml:space="preserve">    对外合作与交流</t>
  </si>
  <si>
    <t xml:space="preserve">    对外宣传</t>
  </si>
  <si>
    <t xml:space="preserve">    其他外交支出</t>
  </si>
  <si>
    <t>国防支出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</si>
  <si>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</si>
  <si>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</si>
  <si>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</si>
  <si>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</si>
  <si>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</si>
  <si>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</si>
  <si>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</si>
  <si>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</si>
  <si>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</si>
  <si>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</si>
  <si>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</si>
  <si>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</si>
  <si>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</si>
  <si>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</si>
  <si>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</si>
  <si>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</si>
  <si>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</si>
  <si>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</si>
  <si>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</si>
  <si>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</si>
  <si>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</si>
  <si>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</si>
  <si>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</si>
  <si>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</si>
  <si>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</si>
  <si>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</si>
  <si>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</si>
  <si>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</si>
  <si>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</si>
  <si>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</si>
  <si>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</si>
  <si>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</si>
  <si>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</si>
  <si>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</si>
  <si>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</si>
  <si>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</si>
  <si>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</si>
  <si>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</si>
  <si>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</si>
  <si>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</si>
  <si>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</si>
  <si>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</si>
  <si>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</si>
  <si>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</si>
  <si>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</si>
  <si>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</si>
  <si>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</si>
  <si>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</si>
  <si>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</si>
  <si>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</si>
  <si>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</si>
  <si>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</si>
  <si>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</si>
  <si>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</si>
  <si>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</si>
  <si>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</si>
  <si>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</si>
  <si>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</si>
  <si>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</si>
  <si>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</si>
  <si>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</si>
  <si>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</si>
  <si>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</si>
  <si>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</si>
  <si>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</si>
  <si>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</si>
  <si>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</si>
  <si>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</si>
  <si>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</si>
  <si>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</si>
  <si>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</si>
  <si>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</si>
  <si>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</si>
  <si>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</si>
  <si>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</si>
  <si>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</si>
  <si>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</si>
  <si>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</si>
  <si>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</si>
  <si>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</si>
  <si>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</si>
  <si>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</si>
  <si>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</si>
  <si>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</si>
  <si>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</si>
  <si>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</si>
  <si>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</si>
  <si>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</si>
  <si>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</si>
  <si>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</si>
  <si>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</si>
  <si>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</si>
  <si>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</si>
  <si>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</si>
  <si>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</si>
  <si>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</si>
  <si>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</si>
  <si>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</si>
  <si>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</si>
  <si>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</si>
  <si>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</si>
  <si>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</si>
  <si>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</si>
  <si>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</si>
  <si>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</si>
  <si>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</si>
  <si>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</si>
  <si>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</si>
  <si>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</si>
  <si>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</si>
  <si>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</si>
  <si>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</si>
  <si>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</si>
  <si>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</si>
  <si>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</si>
  <si>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</si>
  <si>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</si>
  <si>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</si>
  <si>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</si>
  <si>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</si>
  <si>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</si>
  <si>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</si>
  <si>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</si>
  <si>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</si>
  <si>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</si>
  <si>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</si>
  <si>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</si>
  <si>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</si>
  <si>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</si>
  <si>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</si>
  <si>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</si>
  <si>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</si>
  <si>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</si>
  <si>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</si>
  <si>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</si>
  <si>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</si>
  <si>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</si>
  <si>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</si>
  <si>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</si>
  <si>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</si>
  <si>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</si>
  <si>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</si>
  <si>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</si>
  <si>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</si>
  <si>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</si>
  <si>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</si>
  <si>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</si>
  <si>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</si>
  <si>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</si>
  <si>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</si>
  <si>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</si>
  <si>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</si>
  <si>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</si>
  <si>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</si>
  <si>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</si>
  <si>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</si>
  <si>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</si>
  <si>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</si>
  <si>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</si>
  <si>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</si>
  <si>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</si>
  <si>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</si>
  <si>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</si>
  <si>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</si>
  <si>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</si>
  <si>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</si>
  <si>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</si>
  <si>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</si>
  <si>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</si>
  <si>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</si>
  <si>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</si>
  <si>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</si>
  <si>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</si>
  <si>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</si>
  <si>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</si>
  <si>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</si>
  <si>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</si>
  <si>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</si>
  <si>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</si>
  <si>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</si>
  <si>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</si>
  <si>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</si>
  <si>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</si>
  <si>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</si>
  <si>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</si>
  <si>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</si>
  <si>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</si>
  <si>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</si>
  <si>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</si>
  <si>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</si>
  <si>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</si>
  <si>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</si>
  <si>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</si>
  <si>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</si>
  <si>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</si>
  <si>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</si>
  <si>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</si>
  <si>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</si>
  <si>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</si>
  <si>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</si>
  <si>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</si>
  <si>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</si>
  <si>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</si>
  <si>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</si>
  <si>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</si>
  <si>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</si>
  <si>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</si>
  <si>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</si>
  <si>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</si>
  <si>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</si>
  <si>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</si>
  <si>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</si>
  <si>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</si>
  <si>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</si>
  <si>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</si>
  <si>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</si>
  <si>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</si>
  <si>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</si>
  <si>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</si>
  <si>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</si>
  <si>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</si>
  <si>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</si>
  <si>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</si>
  <si>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</si>
  <si>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</si>
  <si>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</si>
  <si>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</si>
  <si>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</si>
  <si>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</si>
  <si>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</si>
  <si>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</si>
  <si>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</si>
  <si>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</si>
  <si>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</si>
  <si>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</si>
  <si>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</si>
  <si>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</si>
  <si>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</si>
  <si>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</si>
  <si>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</si>
  <si>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</si>
  <si>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</si>
  <si>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</si>
  <si>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</si>
  <si>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</si>
  <si>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</si>
  <si>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</si>
  <si>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</si>
  <si>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</si>
  <si>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</si>
  <si>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</si>
  <si>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</si>
  <si>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</si>
  <si>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</si>
  <si>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</si>
  <si>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</si>
  <si>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</si>
  <si>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</si>
  <si>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</si>
  <si>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</si>
  <si>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</si>
  <si>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</si>
  <si>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</si>
  <si>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</si>
  <si>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</si>
  <si>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</si>
  <si>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</si>
  <si>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</si>
  <si>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</si>
  <si>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</si>
  <si>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</si>
  <si>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</si>
  <si>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</si>
  <si>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</si>
  <si>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</si>
  <si>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</si>
  <si>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</si>
  <si>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</si>
  <si>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</si>
  <si>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</si>
  <si>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</si>
  <si>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</si>
  <si>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</si>
  <si>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</si>
  <si>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</si>
  <si>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</si>
  <si>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</si>
  <si>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</si>
  <si>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</si>
  <si>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</si>
  <si>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</si>
  <si>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</si>
  <si>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</si>
  <si>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</si>
  <si>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</si>
  <si>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</si>
  <si>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</si>
  <si>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</si>
  <si>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</si>
  <si>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</si>
  <si>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</si>
  <si>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</si>
  <si>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</si>
  <si>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</si>
  <si>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</si>
  <si>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</si>
  <si>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</si>
  <si>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</si>
  <si>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</si>
  <si>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</si>
  <si>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</si>
  <si>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</si>
  <si>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</si>
  <si>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</si>
  <si>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</si>
  <si>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</si>
  <si>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</si>
  <si>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</si>
  <si>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</si>
  <si>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</si>
  <si>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</si>
  <si>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</si>
  <si>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</si>
  <si>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</si>
  <si>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</si>
  <si>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</si>
  <si>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</si>
  <si>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</si>
  <si>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</si>
  <si>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</si>
  <si>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</si>
  <si>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</si>
  <si>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</si>
  <si>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</si>
  <si>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</si>
  <si>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</si>
  <si>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</si>
  <si>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</si>
  <si>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</si>
  <si>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</si>
  <si>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</si>
  <si>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</si>
  <si>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</si>
  <si>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</si>
  <si>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</si>
  <si>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</si>
  <si>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</si>
  <si>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</si>
  <si>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</si>
  <si>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</si>
  <si>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</si>
  <si>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</si>
  <si>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</si>
  <si>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</si>
  <si>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</si>
  <si>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</si>
  <si>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</si>
  <si>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</si>
  <si>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</si>
  <si>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</si>
  <si>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</si>
  <si>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</si>
  <si>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</si>
  <si>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</si>
  <si>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</si>
  <si>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</si>
  <si>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</si>
  <si>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</si>
  <si>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</si>
  <si>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</si>
  <si>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</si>
  <si>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</si>
  <si>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</si>
  <si>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</si>
  <si>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</si>
  <si>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</si>
  <si>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</si>
  <si>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</si>
  <si>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</si>
  <si>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</si>
  <si>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</si>
  <si>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</si>
  <si>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</si>
  <si>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</si>
  <si>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</si>
  <si>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</si>
  <si>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</si>
  <si>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</si>
  <si>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</si>
  <si>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</si>
  <si>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</si>
  <si>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</si>
  <si>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</si>
  <si>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</si>
  <si>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</si>
  <si>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</si>
  <si>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</si>
  <si>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</si>
  <si>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</si>
  <si>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</si>
  <si>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</si>
  <si>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</si>
  <si>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</si>
  <si>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</si>
  <si>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</si>
  <si>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</si>
  <si>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</si>
  <si>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</si>
  <si>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</si>
  <si>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</si>
  <si>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</si>
  <si>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</si>
  <si>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</si>
  <si>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</si>
  <si>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</si>
  <si>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</si>
  <si>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</si>
  <si>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</si>
  <si>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</si>
  <si>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</si>
  <si>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</si>
  <si>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</si>
  <si>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</si>
  <si>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</si>
  <si>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</si>
  <si>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</si>
  <si>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</si>
  <si>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</si>
  <si>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</si>
  <si>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</si>
  <si>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</si>
  <si>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</si>
  <si>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</si>
  <si>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</si>
  <si>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</si>
  <si>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</si>
  <si>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</si>
  <si>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</si>
  <si>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</si>
  <si>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</si>
  <si>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</si>
  <si>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</si>
  <si>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</si>
  <si>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</si>
  <si>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</si>
  <si>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</si>
  <si>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</si>
  <si>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</si>
  <si>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</si>
  <si>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</si>
  <si>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</si>
  <si>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</si>
  <si>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</si>
  <si>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</si>
  <si>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</si>
  <si>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</si>
  <si>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</si>
  <si>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</si>
  <si>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</si>
  <si>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</si>
  <si>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</si>
  <si>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</si>
  <si>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</si>
  <si>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</si>
  <si>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</si>
  <si>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</si>
  <si>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</si>
  <si>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</si>
  <si>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</si>
  <si>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</si>
  <si>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</si>
  <si>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</si>
  <si>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</si>
  <si>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</si>
  <si>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</si>
  <si>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</si>
  <si>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</si>
  <si>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</si>
  <si>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</si>
  <si>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</si>
  <si>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</si>
  <si>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</si>
  <si>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</si>
  <si>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</si>
  <si>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</si>
  <si>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</si>
  <si>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</si>
  <si>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</si>
  <si>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</si>
  <si>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</si>
  <si>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</si>
  <si>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</si>
  <si>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</si>
  <si>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</si>
  <si>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</si>
  <si>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</si>
  <si>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</si>
  <si>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</si>
  <si>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</si>
  <si>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</si>
  <si>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</si>
  <si>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</si>
  <si>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</si>
  <si>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</si>
  <si>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</si>
  <si>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</si>
  <si>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</si>
  <si>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</si>
  <si>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</si>
  <si>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</si>
  <si>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</si>
  <si>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</si>
  <si>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</si>
  <si>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</si>
  <si>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</si>
  <si>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</si>
  <si>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</si>
  <si>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</si>
  <si>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</si>
  <si>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</si>
  <si>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</si>
  <si>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</si>
  <si>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</si>
  <si>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</si>
  <si>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</si>
  <si>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</si>
  <si>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</si>
  <si>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</si>
  <si>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</si>
  <si>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</si>
  <si>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</si>
  <si>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</si>
  <si>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</si>
  <si>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</si>
  <si>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</si>
  <si>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</si>
  <si>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</si>
  <si>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</si>
  <si>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</si>
  <si>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</si>
  <si>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</si>
  <si>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</si>
  <si>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</si>
  <si>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</si>
  <si>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</si>
  <si>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</si>
  <si>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</si>
  <si>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</si>
  <si>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</si>
  <si>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</si>
  <si>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</si>
  <si>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</si>
  <si>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</si>
  <si>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</si>
  <si>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</si>
  <si>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</si>
  <si>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</si>
  <si>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</si>
  <si>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</si>
  <si>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</si>
  <si>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</si>
  <si>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</si>
  <si>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</si>
  <si>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</si>
  <si>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</si>
  <si>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</si>
  <si>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</si>
  <si>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</si>
  <si>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</si>
  <si>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</si>
  <si>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</si>
  <si>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</si>
  <si>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</si>
  <si>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</si>
  <si>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</si>
  <si>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</si>
  <si>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</si>
  <si>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</si>
  <si>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</si>
  <si>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</si>
  <si>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</si>
  <si>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</si>
  <si>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</si>
  <si>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</si>
  <si>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</si>
  <si>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</si>
  <si>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</si>
  <si>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</si>
  <si>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</si>
  <si>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</si>
  <si>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</si>
  <si>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</si>
  <si>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</si>
  <si>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</si>
  <si>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</si>
  <si>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</si>
  <si>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</si>
  <si>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</si>
  <si>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</si>
  <si>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</si>
  <si>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</si>
  <si>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</si>
  <si>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</si>
  <si>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</si>
  <si>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</si>
  <si>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</si>
  <si>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</si>
  <si>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</si>
  <si>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</si>
  <si>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</si>
  <si>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</si>
  <si>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</si>
  <si>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</si>
  <si>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</si>
  <si>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</si>
  <si>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</si>
  <si>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</si>
  <si>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</si>
  <si>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</si>
  <si>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</si>
  <si>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</si>
  <si>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</si>
  <si>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</si>
  <si>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</si>
  <si>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</si>
  <si>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</si>
  <si>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</si>
  <si>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</si>
  <si>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</si>
  <si>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</si>
  <si>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</si>
  <si>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</si>
  <si>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</si>
  <si>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</si>
  <si>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</si>
  <si>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</si>
  <si>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</si>
  <si>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</si>
  <si>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</si>
  <si>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</si>
  <si>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</si>
  <si>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</si>
  <si>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</si>
  <si>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</si>
  <si>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</si>
  <si>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</si>
  <si>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</si>
  <si>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</si>
  <si>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</si>
  <si>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</si>
  <si>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</si>
  <si>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</si>
  <si>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</si>
  <si>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</si>
  <si>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</si>
  <si>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</si>
  <si>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</si>
  <si>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</si>
  <si>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</si>
  <si>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</si>
  <si>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</si>
  <si>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</si>
  <si>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</si>
  <si>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</si>
  <si>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</si>
  <si>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</si>
  <si>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</si>
  <si>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</si>
  <si>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</si>
  <si>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</si>
  <si>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</si>
  <si>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</si>
  <si>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</si>
  <si>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</si>
  <si>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</si>
  <si>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</si>
  <si>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</si>
  <si>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</si>
  <si>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</si>
  <si>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</si>
  <si>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</si>
  <si>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</si>
  <si>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</si>
  <si>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</si>
  <si>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</si>
  <si>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</si>
  <si>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</si>
  <si>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</si>
  <si>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</si>
  <si>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</si>
  <si>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</si>
  <si>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</si>
  <si>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</si>
  <si>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</si>
  <si>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</si>
  <si>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</si>
  <si>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</si>
  <si>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</si>
  <si>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</si>
  <si>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</si>
  <si>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</si>
  <si>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</si>
  <si>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</si>
  <si>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</si>
  <si>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</si>
  <si>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</si>
  <si>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</si>
  <si>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</si>
  <si>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</si>
  <si>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</si>
  <si>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</si>
  <si>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</si>
  <si>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</si>
  <si>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</si>
  <si>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</si>
  <si>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</si>
  <si>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</si>
  <si>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</si>
  <si>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</si>
  <si>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</si>
  <si>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</si>
  <si>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</si>
  <si>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</si>
  <si>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</si>
  <si>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</si>
  <si>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</si>
  <si>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</si>
  <si>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</si>
  <si>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</si>
  <si>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</si>
  <si>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</si>
  <si>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</si>
  <si>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</si>
  <si>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</si>
  <si>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</si>
  <si>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</si>
  <si>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</si>
  <si>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</si>
  <si>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</si>
  <si>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</si>
  <si>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</si>
  <si>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</si>
  <si>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</si>
  <si>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</si>
  <si>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</si>
  <si>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</si>
  <si>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</si>
  <si>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</si>
  <si>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</si>
  <si>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</si>
  <si>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</si>
  <si>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</si>
  <si>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</si>
  <si>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</si>
  <si>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</si>
  <si>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</si>
  <si>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</si>
  <si>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</si>
  <si>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</si>
  <si>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</si>
  <si>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</si>
  <si>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</si>
  <si>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</si>
  <si>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</si>
  <si>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</si>
  <si>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</si>
  <si>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</si>
  <si>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</si>
  <si>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</si>
  <si>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</si>
  <si>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</si>
  <si>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</si>
  <si>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</si>
  <si>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</si>
  <si>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</si>
  <si>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</si>
  <si>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</si>
  <si>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</si>
  <si>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</si>
  <si>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</si>
  <si>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</si>
  <si>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</si>
  <si>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</si>
  <si>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</si>
  <si>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</si>
  <si>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</si>
  <si>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</si>
  <si>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</si>
  <si>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</si>
  <si>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</si>
  <si>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</si>
  <si>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</si>
  <si>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</si>
  <si>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</si>
  <si>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</si>
  <si>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</si>
  <si>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</si>
  <si>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</si>
  <si>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</si>
  <si>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</si>
  <si>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</si>
  <si>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</si>
  <si>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</si>
  <si>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</si>
  <si>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</si>
  <si>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</si>
  <si>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</si>
  <si>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</si>
  <si>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</si>
  <si>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</si>
  <si>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预备费</t>
  </si>
  <si>
    <t>其他支出</t>
  </si>
  <si>
    <t xml:space="preserve">    年初预留</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</si>
  <si>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</si>
  <si>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</si>
  <si>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</si>
  <si>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</si>
  <si>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</si>
  <si>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</si>
  <si>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</si>
  <si>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</si>
  <si>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支出合计</t>
  </si>
  <si>
    <t>表三</t>
  </si>
  <si>
    <t>2022年一般公共预算收支平衡表</t>
  </si>
  <si>
    <t>收入</t>
  </si>
  <si>
    <t>支出</t>
  </si>
  <si>
    <t>本级收入合计</t>
  </si>
  <si>
    <t>本级支出合计</t>
  </si>
  <si>
    <t>转移性收入</t>
  </si>
  <si>
    <t>转移性支出</t>
  </si>
  <si>
    <t xml:space="preserve">  上级补助收入</t>
  </si>
  <si>
    <t xml:space="preserve">  上解上级支出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</si>
  <si>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</si>
  <si>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</si>
  <si>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</si>
  <si>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</si>
  <si>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</si>
  <si>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</si>
  <si>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</si>
  <si>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</si>
  <si>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</si>
  <si>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</si>
  <si>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</si>
  <si>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</si>
  <si>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</si>
  <si>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</si>
  <si>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</si>
  <si>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</si>
  <si>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</si>
  <si>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</si>
  <si>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</si>
  <si>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</si>
  <si>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</si>
  <si>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</si>
  <si>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</si>
  <si>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</si>
  <si>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</si>
  <si>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</si>
  <si>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</si>
  <si>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</si>
  <si>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</si>
  <si>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</si>
  <si>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</si>
  <si>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</si>
  <si>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</si>
  <si>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</si>
  <si>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</si>
  <si>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</si>
  <si>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</si>
  <si>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</si>
  <si>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</si>
  <si>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</si>
  <si>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</si>
  <si>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</si>
  <si>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</si>
  <si>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</si>
  <si>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</si>
  <si>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</si>
  <si>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</si>
  <si>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</si>
  <si>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</si>
  <si>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</si>
  <si>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</si>
  <si>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</si>
  <si>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</si>
  <si>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</si>
  <si>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</si>
  <si>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</si>
  <si>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</si>
  <si>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</si>
  <si>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</si>
  <si>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</si>
  <si>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</si>
  <si>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</si>
  <si>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</si>
  <si>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</si>
  <si>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</si>
  <si>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</si>
  <si>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</si>
  <si>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</si>
  <si>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体制上解收入</t>
  </si>
  <si>
    <t xml:space="preserve">    专项上解收入</t>
  </si>
  <si>
    <t xml:space="preserve">  待偿债置换一般债券上年结余</t>
  </si>
  <si>
    <t xml:space="preserve">  上年结余收入</t>
  </si>
  <si>
    <t xml:space="preserve">  调入资金</t>
  </si>
  <si>
    <t xml:space="preserve">    从政府性基金预算调入</t>
  </si>
  <si>
    <t xml:space="preserve">  补助下级支出</t>
  </si>
  <si>
    <t xml:space="preserve">      其中：从抗疫特别国债调入</t>
  </si>
  <si>
    <t xml:space="preserve">  调出资金</t>
  </si>
  <si>
    <t xml:space="preserve">    从国有资本经营预算调入</t>
  </si>
  <si>
    <t xml:space="preserve">  安排预算稳定调节基金</t>
  </si>
  <si>
    <t xml:space="preserve">    从其他资金调入</t>
  </si>
  <si>
    <t xml:space="preserve">  补充预算周转金</t>
  </si>
  <si>
    <t xml:space="preserve">  地方政府一般债务收入</t>
  </si>
  <si>
    <t xml:space="preserve">  地方政府一般债务还本支出</t>
  </si>
  <si>
    <t xml:space="preserve">  地方政府一般债务转贷收入</t>
  </si>
  <si>
    <t xml:space="preserve">  地方政府一般债务转贷支出</t>
  </si>
  <si>
    <t xml:space="preserve">  接受其他地区援助收入</t>
  </si>
  <si>
    <t xml:space="preserve">  援助其他地区支出</t>
  </si>
  <si>
    <t xml:space="preserve">  动用预算稳定调节基金</t>
  </si>
  <si>
    <t xml:space="preserve">  计划单列市上解省支出</t>
  </si>
  <si>
    <t xml:space="preserve">  省补助计划单列市收入</t>
  </si>
  <si>
    <t xml:space="preserve">  省补助计划单列市支出</t>
  </si>
  <si>
    <t xml:space="preserve">  计划单列市上解省收入</t>
  </si>
  <si>
    <t xml:space="preserve">  年终结余</t>
  </si>
  <si>
    <t>收入总计</t>
  </si>
  <si>
    <t>支出总计</t>
  </si>
  <si>
    <t>审核关系：1、收入总计=支出总计</t>
  </si>
  <si>
    <t xml:space="preserve">             2、调入和基金国有的调出相等</t>
  </si>
  <si>
    <t xml:space="preserve">             3、表内的收支结余数相等</t>
  </si>
  <si>
    <t>表四</t>
  </si>
  <si>
    <t>2022年一般公共预算支出资金来源表</t>
  </si>
  <si>
    <t>合计</t>
  </si>
  <si>
    <t>财力安排</t>
  </si>
  <si>
    <t>专项转移支付收入安排</t>
  </si>
  <si>
    <t>动用上年结余安排</t>
  </si>
  <si>
    <t>调入资金</t>
  </si>
  <si>
    <t>政府债务资金</t>
  </si>
  <si>
    <t>其他资金</t>
  </si>
  <si>
    <t>审核</t>
  </si>
  <si>
    <t>公共安全支出</t>
  </si>
  <si>
    <t xml:space="preserve">      年初预留</t>
  </si>
  <si>
    <t xml:space="preserve">      其他支出</t>
  </si>
  <si>
    <t xml:space="preserve">      地方政府一般债务付息支出</t>
  </si>
  <si>
    <t>表四合计</t>
  </si>
  <si>
    <t>表三相关数据</t>
  </si>
  <si>
    <t>（审核≤0为正确）表四与表三相关数据相减</t>
  </si>
  <si>
    <t>注：1、本表“专项转移支付收入安排”＝表三“专项转移支付收入”；</t>
  </si>
  <si>
    <t xml:space="preserve">    2.本表“动用上年结余安排”、“调入资金”、“政府债务资金”≤表三相关数据。</t>
  </si>
  <si>
    <t xml:space="preserve">    3.其他资金尽量不填数，如有数，请在下方备注说明。</t>
  </si>
  <si>
    <t>表五</t>
  </si>
  <si>
    <t>2022年一般公共预算支出经济分类表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</si>
  <si>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</si>
  <si>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</si>
  <si>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</si>
  <si>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</si>
  <si>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</si>
  <si>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</si>
  <si>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</si>
  <si>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</si>
  <si>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</si>
  <si>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</si>
  <si>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</si>
  <si>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</si>
  <si>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</si>
  <si>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</si>
  <si>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</si>
  <si>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一般公共服务支出</t>
  </si>
  <si>
    <t>表六之一</t>
  </si>
  <si>
    <t>2022年地市县一般公共预算收支表</t>
  </si>
  <si>
    <t>地    区</t>
  </si>
  <si>
    <t>收       入</t>
  </si>
  <si>
    <t>税　　　　收　　　　收　　　　入</t>
  </si>
  <si>
    <t>非  税  收  入</t>
  </si>
  <si>
    <t>小计</t>
  </si>
  <si>
    <t>增值税</t>
  </si>
  <si>
    <t>企业
所得税</t>
  </si>
  <si>
    <t>企业
所得税退税</t>
  </si>
  <si>
    <t>个人
所得税</t>
  </si>
  <si>
    <t>资源税</t>
  </si>
  <si>
    <t>城市维护
建设税</t>
  </si>
  <si>
    <t>房产税</t>
  </si>
  <si>
    <t>印花税</t>
  </si>
  <si>
    <t>城镇土地使用税</t>
  </si>
  <si>
    <t>土地增值税</t>
  </si>
  <si>
    <t>车船税</t>
  </si>
  <si>
    <t>耕地
占用税</t>
  </si>
  <si>
    <t>契税</t>
  </si>
  <si>
    <t>烟叶税</t>
  </si>
  <si>
    <t>环境保护税</t>
  </si>
  <si>
    <t>其他各项税收收入</t>
  </si>
  <si>
    <t>专项
收入</t>
  </si>
  <si>
    <t>行政事
业性收
费收入</t>
  </si>
  <si>
    <t>罚没
收入</t>
  </si>
  <si>
    <t>国有资本经营收入</t>
  </si>
  <si>
    <t>国有资源
（资产）有
偿使用收入</t>
  </si>
  <si>
    <t>捐赠
收入</t>
  </si>
  <si>
    <t>政府住房基金收入</t>
  </si>
  <si>
    <t>其他
收入</t>
  </si>
  <si>
    <t>广西壮族自治区</t>
  </si>
  <si>
    <t xml:space="preserve">  广西壮族自治区本级</t>
  </si>
  <si>
    <t xml:space="preserve">  广西壮族自治区地市合计</t>
  </si>
  <si>
    <t xml:space="preserve">    南宁市</t>
  </si>
  <si>
    <t xml:space="preserve">      南宁市本级</t>
  </si>
  <si>
    <t xml:space="preserve">      南宁市区县合计</t>
  </si>
  <si>
    <t xml:space="preserve">        兴宁区</t>
  </si>
  <si>
    <t xml:space="preserve">        青秀区</t>
  </si>
  <si>
    <t xml:space="preserve">        江南区</t>
  </si>
  <si>
    <t xml:space="preserve">        西乡塘区</t>
  </si>
  <si>
    <t xml:space="preserve">        良庆区</t>
  </si>
  <si>
    <t xml:space="preserve">        邕宁区</t>
  </si>
  <si>
    <t xml:space="preserve">        武鸣区</t>
  </si>
  <si>
    <t xml:space="preserve">        横州市</t>
  </si>
  <si>
    <t xml:space="preserve">        宾阳县</t>
  </si>
  <si>
    <t xml:space="preserve">        上林县</t>
  </si>
  <si>
    <t xml:space="preserve">        马山县</t>
  </si>
  <si>
    <t xml:space="preserve">        隆安县</t>
  </si>
  <si>
    <t xml:space="preserve">    柳州市</t>
  </si>
  <si>
    <t xml:space="preserve">      柳州市本级</t>
  </si>
  <si>
    <t xml:space="preserve">      柳州市区县合计</t>
  </si>
  <si>
    <t xml:space="preserve">        柳江区</t>
  </si>
  <si>
    <t xml:space="preserve">        柳城县</t>
  </si>
  <si>
    <t xml:space="preserve">        鹿寨县</t>
  </si>
  <si>
    <t xml:space="preserve">        融安县</t>
  </si>
  <si>
    <t xml:space="preserve">        三江县</t>
  </si>
  <si>
    <t xml:space="preserve">        融水县</t>
  </si>
  <si>
    <t xml:space="preserve">        城中区</t>
  </si>
  <si>
    <t xml:space="preserve">        鱼峰区</t>
  </si>
  <si>
    <t xml:space="preserve">        柳南区</t>
  </si>
  <si>
    <t xml:space="preserve">        柳北区</t>
  </si>
  <si>
    <t xml:space="preserve">    桂林市</t>
  </si>
  <si>
    <t xml:space="preserve">      桂林市本级</t>
  </si>
  <si>
    <t xml:space="preserve">      桂林市区县合计</t>
  </si>
  <si>
    <t xml:space="preserve">        临桂区</t>
  </si>
  <si>
    <t xml:space="preserve">        阳朔县</t>
  </si>
  <si>
    <t xml:space="preserve">        灵川县</t>
  </si>
  <si>
    <t xml:space="preserve">        全州县</t>
  </si>
  <si>
    <t xml:space="preserve">        兴安县</t>
  </si>
  <si>
    <t xml:space="preserve">        永福县</t>
  </si>
  <si>
    <t xml:space="preserve">        荔浦市</t>
  </si>
  <si>
    <t xml:space="preserve">        平乐县</t>
  </si>
  <si>
    <t xml:space="preserve">        恭城县</t>
  </si>
  <si>
    <t xml:space="preserve">        灌阳县</t>
  </si>
  <si>
    <t xml:space="preserve">        龙胜县</t>
  </si>
  <si>
    <t xml:space="preserve">        资源县</t>
  </si>
  <si>
    <t xml:space="preserve">        秀峰区</t>
  </si>
  <si>
    <t xml:space="preserve">        象山区</t>
  </si>
  <si>
    <t xml:space="preserve">        叠彩区</t>
  </si>
  <si>
    <t xml:space="preserve">        七星区</t>
  </si>
  <si>
    <t xml:space="preserve">        雁山区</t>
  </si>
  <si>
    <t xml:space="preserve">    梧州市</t>
  </si>
  <si>
    <t xml:space="preserve">      梧州市本级</t>
  </si>
  <si>
    <t xml:space="preserve">      梧州市区县合计</t>
  </si>
  <si>
    <t xml:space="preserve">        岑溪市</t>
  </si>
  <si>
    <t xml:space="preserve">        苍梧县</t>
  </si>
  <si>
    <t xml:space="preserve">        藤县</t>
  </si>
  <si>
    <t xml:space="preserve">        蒙山县</t>
  </si>
  <si>
    <t xml:space="preserve">        万秀区</t>
  </si>
  <si>
    <t xml:space="preserve">        长洲区</t>
  </si>
  <si>
    <t xml:space="preserve">        龙圩区</t>
  </si>
  <si>
    <t xml:space="preserve">    北海市</t>
  </si>
  <si>
    <t xml:space="preserve">      北海市本级</t>
  </si>
  <si>
    <t xml:space="preserve">      北海市区县合计</t>
  </si>
  <si>
    <t xml:space="preserve">        合浦县</t>
  </si>
  <si>
    <t xml:space="preserve">        海城区</t>
  </si>
  <si>
    <t xml:space="preserve">        银海区</t>
  </si>
  <si>
    <t xml:space="preserve">        铁山港区</t>
  </si>
  <si>
    <t xml:space="preserve">    防城港市</t>
  </si>
  <si>
    <t xml:space="preserve">      防城港市本级</t>
  </si>
  <si>
    <t xml:space="preserve">      防城港市区县合计</t>
  </si>
  <si>
    <t xml:space="preserve">        港口区</t>
  </si>
  <si>
    <t xml:space="preserve">        防城区</t>
  </si>
  <si>
    <t xml:space="preserve">        东兴市</t>
  </si>
  <si>
    <t xml:space="preserve">        上思县</t>
  </si>
  <si>
    <t xml:space="preserve">    钦州市</t>
  </si>
  <si>
    <t xml:space="preserve">      钦州市本级</t>
  </si>
  <si>
    <t xml:space="preserve">      钦州市区县合计</t>
  </si>
  <si>
    <t xml:space="preserve">        浦北县</t>
  </si>
  <si>
    <t xml:space="preserve">        灵山县</t>
  </si>
  <si>
    <t xml:space="preserve">        钦南区</t>
  </si>
  <si>
    <t xml:space="preserve">        钦北区</t>
  </si>
  <si>
    <t xml:space="preserve">    贵港市</t>
  </si>
  <si>
    <t xml:space="preserve">      贵港市本级</t>
  </si>
  <si>
    <t xml:space="preserve">      贵港市区县合计</t>
  </si>
  <si>
    <t xml:space="preserve">        港北区</t>
  </si>
  <si>
    <t xml:space="preserve">        港南区</t>
  </si>
  <si>
    <t xml:space="preserve">        覃塘区</t>
  </si>
  <si>
    <t xml:space="preserve">        平南县</t>
  </si>
  <si>
    <t xml:space="preserve">        桂平市</t>
  </si>
  <si>
    <t xml:space="preserve">    玉林市</t>
  </si>
  <si>
    <t xml:space="preserve">      玉林市本级</t>
  </si>
  <si>
    <t xml:space="preserve">      玉林市区县合计</t>
  </si>
  <si>
    <t xml:space="preserve">        容县</t>
  </si>
  <si>
    <t xml:space="preserve">        陆川县</t>
  </si>
  <si>
    <t xml:space="preserve">        博白县</t>
  </si>
  <si>
    <t xml:space="preserve">        兴业县</t>
  </si>
  <si>
    <t xml:space="preserve">        北流市</t>
  </si>
  <si>
    <t xml:space="preserve">        玉州区</t>
  </si>
  <si>
    <t xml:space="preserve">        福绵区</t>
  </si>
  <si>
    <t xml:space="preserve">    百色市</t>
  </si>
  <si>
    <t xml:space="preserve">      百色市本级</t>
  </si>
  <si>
    <t xml:space="preserve">      百色市区县合计</t>
  </si>
  <si>
    <t xml:space="preserve">        右江区</t>
  </si>
  <si>
    <t xml:space="preserve">        田阳区</t>
  </si>
  <si>
    <t xml:space="preserve">        田东县</t>
  </si>
  <si>
    <t xml:space="preserve">        平果市</t>
  </si>
  <si>
    <t xml:space="preserve">        德保县</t>
  </si>
  <si>
    <t xml:space="preserve">        靖西市</t>
  </si>
  <si>
    <t xml:space="preserve">        那坡县</t>
  </si>
  <si>
    <t xml:space="preserve">        凌云县</t>
  </si>
  <si>
    <t xml:space="preserve">        乐业县</t>
  </si>
  <si>
    <t xml:space="preserve">        田林县</t>
  </si>
  <si>
    <t xml:space="preserve">        隆林县</t>
  </si>
  <si>
    <t xml:space="preserve">        西林县</t>
  </si>
  <si>
    <t xml:space="preserve">    贺州市</t>
  </si>
  <si>
    <t xml:space="preserve">      贺州市本级</t>
  </si>
  <si>
    <t xml:space="preserve">      贺州市区县合计</t>
  </si>
  <si>
    <t xml:space="preserve">        昭平县</t>
  </si>
  <si>
    <t xml:space="preserve">        钟山县</t>
  </si>
  <si>
    <t xml:space="preserve">        富川县</t>
  </si>
  <si>
    <t xml:space="preserve">        八步区</t>
  </si>
  <si>
    <t xml:space="preserve">        平桂区</t>
  </si>
  <si>
    <t xml:space="preserve">    河池市</t>
  </si>
  <si>
    <t xml:space="preserve">      河池市本级</t>
  </si>
  <si>
    <t xml:space="preserve">      河池市区县合计</t>
  </si>
  <si>
    <t xml:space="preserve">        金城江区</t>
  </si>
  <si>
    <t xml:space="preserve">        宜州区</t>
  </si>
  <si>
    <t xml:space="preserve">        罗城仫佬族自治县</t>
  </si>
  <si>
    <t xml:space="preserve">        环江毛南族自治县</t>
  </si>
  <si>
    <t xml:space="preserve">        南丹县</t>
  </si>
  <si>
    <t xml:space="preserve">        天峨县</t>
  </si>
  <si>
    <t xml:space="preserve">        凤山县</t>
  </si>
  <si>
    <t xml:space="preserve">        东兰县</t>
  </si>
  <si>
    <t xml:space="preserve">        巴马瑶族自治县</t>
  </si>
  <si>
    <t xml:space="preserve">        都安瑶族自治县</t>
  </si>
  <si>
    <t xml:space="preserve">        大化瑶族自治县</t>
  </si>
  <si>
    <t xml:space="preserve">    来宾市</t>
  </si>
  <si>
    <t xml:space="preserve">      来宾市本级</t>
  </si>
  <si>
    <t xml:space="preserve">      来宾市区县合计</t>
  </si>
  <si>
    <t xml:space="preserve">        兴宾区</t>
  </si>
  <si>
    <t xml:space="preserve">        象州县</t>
  </si>
  <si>
    <t xml:space="preserve">        武宣县</t>
  </si>
  <si>
    <t xml:space="preserve">        金秀瑶族自治县</t>
  </si>
  <si>
    <t xml:space="preserve">        忻城县</t>
  </si>
  <si>
    <t xml:space="preserve">        合山市</t>
  </si>
  <si>
    <t xml:space="preserve">    崇左市</t>
  </si>
  <si>
    <t xml:space="preserve">      崇左市本级</t>
  </si>
  <si>
    <t xml:space="preserve">      崇左市区县合计</t>
  </si>
  <si>
    <t xml:space="preserve">        扶绥县</t>
  </si>
  <si>
    <t xml:space="preserve">        大新县</t>
  </si>
  <si>
    <t xml:space="preserve">        天等县</t>
  </si>
  <si>
    <t xml:space="preserve">        宁明县</t>
  </si>
  <si>
    <t xml:space="preserve">        龙州县</t>
  </si>
  <si>
    <t xml:space="preserve">        凭祥市</t>
  </si>
  <si>
    <t xml:space="preserve">        江州区</t>
  </si>
  <si>
    <t>表六之二</t>
  </si>
  <si>
    <t>支            出</t>
  </si>
  <si>
    <t>支出
合计</t>
  </si>
  <si>
    <t>公共
安全支出</t>
  </si>
  <si>
    <t>科学
技术支出</t>
  </si>
  <si>
    <t>交通
运输支出</t>
  </si>
  <si>
    <t>其他
支出（包含预备费）</t>
  </si>
  <si>
    <t>表七</t>
  </si>
  <si>
    <t>2022年一般公共预算支出“三公”经费预算表</t>
  </si>
  <si>
    <t>项目名称</t>
  </si>
  <si>
    <t>因公出国（境）费</t>
  </si>
  <si>
    <t>公务用车购置及运行费</t>
  </si>
  <si>
    <t>公务用车购置费</t>
  </si>
  <si>
    <t>公务用车运行费</t>
  </si>
  <si>
    <t>公务接待费</t>
  </si>
  <si>
    <t>表八</t>
  </si>
  <si>
    <t>2022年政府性基金预算收支表</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</si>
  <si>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</si>
  <si>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</si>
  <si>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</si>
  <si>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</si>
  <si>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</si>
  <si>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</si>
  <si>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</si>
  <si>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</si>
  <si>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</si>
  <si>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</si>
  <si>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</si>
  <si>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</si>
  <si>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</si>
  <si>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</si>
  <si>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</si>
  <si>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</si>
  <si>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</si>
  <si>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</si>
  <si>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</si>
  <si>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</si>
  <si>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</si>
  <si>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</si>
  <si>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</si>
  <si>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</si>
  <si>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</si>
  <si>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</si>
  <si>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</si>
  <si>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</si>
  <si>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</si>
  <si>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</si>
  <si>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</si>
  <si>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</si>
  <si>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</si>
  <si>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二、社会保障和就业支出</t>
  </si>
  <si>
    <t>十一、国家重大水利工程建设基金收入</t>
  </si>
  <si>
    <t xml:space="preserve">    大中型水库移民后期扶持基金支出</t>
  </si>
  <si>
    <t>十二、车辆通行费</t>
  </si>
  <si>
    <t xml:space="preserve">      移民补助</t>
  </si>
  <si>
    <t>十三、污水处理费收入</t>
  </si>
  <si>
    <t xml:space="preserve">      基础设施建设和经济发展</t>
  </si>
  <si>
    <t>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</si>
  <si>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</si>
  <si>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</si>
  <si>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</si>
  <si>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</si>
  <si>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</si>
  <si>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</si>
  <si>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</si>
  <si>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</si>
  <si>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</si>
  <si>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十五、其他政府性基金收入</t>
  </si>
  <si>
    <t>十六、专项债券对应项目专项收入</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</si>
  <si>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</si>
  <si>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</si>
  <si>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</si>
  <si>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</si>
  <si>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</si>
  <si>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</si>
  <si>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</si>
  <si>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</si>
  <si>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</si>
  <si>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</si>
  <si>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</si>
  <si>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</si>
  <si>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</si>
  <si>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</si>
  <si>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</si>
  <si>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</si>
  <si>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</si>
  <si>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</si>
  <si>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</si>
  <si>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</si>
  <si>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</si>
  <si>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</si>
  <si>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</si>
  <si>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</si>
  <si>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</si>
  <si>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</si>
  <si>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</si>
  <si>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</si>
  <si>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</si>
  <si>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</si>
  <si>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</si>
  <si>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</si>
  <si>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</si>
  <si>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</si>
  <si>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</si>
  <si>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</si>
  <si>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</si>
  <si>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</si>
  <si>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</si>
  <si>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</si>
  <si>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</si>
  <si>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</si>
  <si>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</si>
  <si>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</si>
  <si>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</si>
  <si>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</si>
  <si>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</si>
  <si>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</si>
  <si>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</si>
  <si>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</si>
  <si>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</si>
  <si>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</si>
  <si>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</si>
  <si>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</si>
  <si>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</si>
  <si>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</si>
  <si>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</si>
  <si>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</si>
  <si>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</si>
  <si>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</si>
  <si>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</si>
  <si>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</si>
  <si>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</si>
  <si>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</si>
  <si>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</si>
  <si>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</si>
  <si>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</si>
  <si>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</si>
  <si>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</si>
  <si>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</si>
  <si>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</si>
  <si>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</si>
  <si>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</si>
  <si>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</si>
  <si>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</si>
  <si>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</si>
  <si>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</si>
  <si>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</si>
  <si>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</si>
  <si>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</si>
  <si>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</si>
  <si>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</si>
  <si>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</si>
  <si>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</si>
  <si>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</si>
  <si>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</si>
  <si>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</si>
  <si>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</si>
  <si>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</si>
  <si>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</si>
  <si>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</si>
  <si>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</si>
  <si>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</si>
  <si>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</si>
  <si>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</si>
  <si>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</si>
  <si>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</si>
  <si>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</si>
  <si>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</si>
  <si>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</si>
  <si>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</si>
  <si>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</si>
  <si>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</si>
  <si>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</si>
  <si>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</si>
  <si>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</si>
  <si>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</si>
  <si>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</si>
  <si>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</si>
  <si>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</si>
  <si>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</si>
  <si>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</si>
  <si>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</si>
  <si>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</si>
  <si>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</si>
  <si>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</si>
  <si>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</si>
  <si>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</si>
  <si>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</si>
  <si>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</si>
  <si>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</si>
  <si>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</si>
  <si>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</si>
  <si>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</si>
  <si>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</si>
  <si>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</si>
  <si>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</si>
  <si>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</si>
  <si>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</si>
  <si>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</si>
  <si>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</si>
  <si>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</si>
  <si>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</si>
  <si>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</si>
  <si>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</si>
  <si>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</si>
  <si>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</si>
  <si>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</si>
  <si>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</si>
  <si>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</si>
  <si>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</si>
  <si>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</si>
  <si>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</si>
  <si>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</si>
  <si>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</si>
  <si>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</si>
  <si>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</si>
  <si>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</si>
  <si>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</si>
  <si>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</si>
  <si>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</si>
  <si>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</si>
  <si>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</si>
  <si>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</si>
  <si>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</si>
  <si>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</si>
  <si>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</si>
  <si>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</si>
  <si>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</si>
  <si>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</si>
  <si>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</si>
  <si>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</si>
  <si>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</si>
  <si>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</si>
  <si>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</si>
  <si>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</si>
  <si>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</si>
  <si>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</si>
  <si>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</si>
  <si>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</si>
  <si>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</si>
  <si>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</si>
  <si>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</si>
  <si>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</si>
  <si>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</si>
  <si>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</si>
  <si>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</si>
  <si>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</si>
  <si>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</si>
  <si>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</si>
  <si>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 xml:space="preserve">  政府性基金补助收入</t>
  </si>
  <si>
    <t xml:space="preserve">  政府性基金补助支出</t>
  </si>
  <si>
    <t xml:space="preserve">  政府性基金上解收入</t>
  </si>
  <si>
    <t xml:space="preserve">  政府性基金上解支出</t>
  </si>
  <si>
    <t xml:space="preserve">  年终结余（转）</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</si>
  <si>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</si>
  <si>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</si>
  <si>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</si>
  <si>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</si>
  <si>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</si>
  <si>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备注：2022年财政部取消了港口建设费，相应收支科目也已经删除。请将港口建设费相关收支上年执行数调整并入其他政府性基金收支科目。</t>
  </si>
  <si>
    <t>审核：</t>
  </si>
  <si>
    <t xml:space="preserve">     1、预算收入 预算数的“上年结余收入”＝上年执行数“年终结余”。</t>
  </si>
  <si>
    <t xml:space="preserve">     2、审核“收入总计”=“支出总计”</t>
  </si>
  <si>
    <t>表九</t>
  </si>
  <si>
    <t>2022年政府性基金调入专项收入预算表</t>
  </si>
  <si>
    <t>备注：无政府性基金调入专项收入预算，故此表为空表</t>
  </si>
  <si>
    <t>表十</t>
  </si>
  <si>
    <t>2022年政府性基金预算支出资金来源表</t>
  </si>
  <si>
    <t>当年预算收入安排</t>
  </si>
  <si>
    <t>转移支付收入安排</t>
  </si>
  <si>
    <t>上年结余</t>
  </si>
  <si>
    <t xml:space="preserve">    污水处理费安排的支出</t>
  </si>
  <si>
    <t xml:space="preserve">    大中型水库库区基金对应专项债务收入安排的支出</t>
  </si>
  <si>
    <t xml:space="preserve">    国家重大水利工程建设基金对应专项债务收入安排的支出</t>
  </si>
  <si>
    <t xml:space="preserve">表十一 </t>
  </si>
  <si>
    <t>2022年国有资本经营预算收支表</t>
  </si>
  <si>
    <t>收          入</t>
  </si>
  <si>
    <t>支          出</t>
  </si>
  <si>
    <t>项        目</t>
  </si>
  <si>
    <t>行次</t>
  </si>
  <si>
    <t>执行数</t>
  </si>
  <si>
    <t>省本级</t>
  </si>
  <si>
    <t>地市级及以下</t>
  </si>
  <si>
    <t>栏次</t>
  </si>
  <si>
    <t>1</t>
  </si>
  <si>
    <t>2</t>
  </si>
  <si>
    <t>3</t>
  </si>
  <si>
    <t>4</t>
  </si>
  <si>
    <t>5</t>
  </si>
  <si>
    <t>6</t>
  </si>
  <si>
    <t>一、利润收入</t>
  </si>
  <si>
    <t>一、解决历史遗留问题及改革成本支出</t>
  </si>
  <si>
    <t>11</t>
  </si>
  <si>
    <t>二、股利、股息收入</t>
  </si>
  <si>
    <t>二、国有企业资本金注入</t>
  </si>
  <si>
    <t>12</t>
  </si>
  <si>
    <t>三、产权转让收入</t>
  </si>
  <si>
    <t>三、国有企业政策性补贴</t>
  </si>
  <si>
    <t>13</t>
  </si>
  <si>
    <t>四、清算收入</t>
  </si>
  <si>
    <t>四、其他国有资本经营预算支出</t>
  </si>
  <si>
    <t>14</t>
  </si>
  <si>
    <t>五、其他国有资本经营预算收入</t>
  </si>
  <si>
    <t>本年收入合计</t>
  </si>
  <si>
    <t>本年支出合计</t>
  </si>
  <si>
    <t>15</t>
  </si>
  <si>
    <t>国有资本经营预算转移支付收入</t>
  </si>
  <si>
    <t>7</t>
  </si>
  <si>
    <t>国有资本经营预算转移支付支出</t>
  </si>
  <si>
    <t>16</t>
  </si>
  <si>
    <t>国有资本经营预算上解收入</t>
  </si>
  <si>
    <t>8</t>
  </si>
  <si>
    <t>国有资本经营预算上解支出</t>
  </si>
  <si>
    <t>17</t>
  </si>
  <si>
    <t>国有资本经营预算上年结余收入</t>
  </si>
  <si>
    <t>9</t>
  </si>
  <si>
    <t>国有资本经营预算调出资金</t>
  </si>
  <si>
    <t>18</t>
  </si>
  <si>
    <t>国有资本经营预算年终结余</t>
  </si>
  <si>
    <t>19</t>
  </si>
  <si>
    <t>收 入 总 计</t>
  </si>
  <si>
    <t>10</t>
  </si>
  <si>
    <t>支 出 总 计</t>
  </si>
  <si>
    <t>20</t>
  </si>
  <si>
    <t>注：以上项目以2022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</si>
  <si>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备注：</t>
  </si>
  <si>
    <t>无国资预算，故此表为空表</t>
  </si>
  <si>
    <t>表十二</t>
  </si>
  <si>
    <t>2022年国有资本经营预算收入表</t>
  </si>
  <si>
    <t>科目编码</t>
  </si>
  <si>
    <t>科目名称/企业</t>
  </si>
  <si>
    <t>2021年执行数</t>
  </si>
  <si>
    <t>2022年预算数</t>
  </si>
  <si>
    <t>预算数为执行数的%</t>
  </si>
  <si>
    <t>1030601</t>
  </si>
  <si>
    <t>烟草企业利润收入</t>
  </si>
  <si>
    <t>石油石化企业利润收入</t>
  </si>
  <si>
    <t>103060105</t>
  </si>
  <si>
    <t>电力企业利润收入</t>
  </si>
  <si>
    <t>电信企业利润收入</t>
  </si>
  <si>
    <t>煤炭企业利润收入</t>
  </si>
  <si>
    <t>有色冶金采掘企业利润收入</t>
  </si>
  <si>
    <t>103060109</t>
  </si>
  <si>
    <t>钢铁企业利润收入</t>
  </si>
  <si>
    <t>化工企业利润收入</t>
  </si>
  <si>
    <t>103060113</t>
  </si>
  <si>
    <t>运输企业利润收入</t>
  </si>
  <si>
    <t>电子企业利润收入</t>
  </si>
  <si>
    <t>机械企业利润收入</t>
  </si>
  <si>
    <t>103060116</t>
  </si>
  <si>
    <t>投资服务企业利润收入</t>
  </si>
  <si>
    <t>纺织轻工企业利润收入</t>
  </si>
  <si>
    <t>103060118</t>
  </si>
  <si>
    <t>贸易企业利润收入</t>
  </si>
  <si>
    <t>103060119</t>
  </si>
  <si>
    <t>建筑施工企业利润收入</t>
  </si>
  <si>
    <t>103060120</t>
  </si>
  <si>
    <t>房地产企业利润收入</t>
  </si>
  <si>
    <t>建材企业利润收入</t>
  </si>
  <si>
    <t>境外企业利润收入</t>
  </si>
  <si>
    <t>对外合作企业利润收入</t>
  </si>
  <si>
    <t>医药企业利润收入</t>
  </si>
  <si>
    <t>103060125</t>
  </si>
  <si>
    <t>农林牧渔企业利润收入</t>
  </si>
  <si>
    <t>邮政企业利润收入</t>
  </si>
  <si>
    <t>军工企业利润收入</t>
  </si>
  <si>
    <t>103060128</t>
  </si>
  <si>
    <t>转制科研院所利润收入</t>
  </si>
  <si>
    <t>103060129</t>
  </si>
  <si>
    <t>地质勘查企业利润收入</t>
  </si>
  <si>
    <t>卫生体育福利企业利润收入</t>
  </si>
  <si>
    <t>103060131</t>
  </si>
  <si>
    <t>教育文化广播企业利润收入</t>
  </si>
  <si>
    <t>科学研究企业利润收入</t>
  </si>
  <si>
    <t>103060133</t>
  </si>
  <si>
    <t>机关社团所属企业利润收入</t>
  </si>
  <si>
    <t>103060134</t>
  </si>
  <si>
    <t>金融企业利润收入（国资预算）</t>
  </si>
  <si>
    <t>103060198</t>
  </si>
  <si>
    <t>其他国有资本经营预算企业利润收入</t>
  </si>
  <si>
    <t>1030602</t>
  </si>
  <si>
    <t>103060202</t>
  </si>
  <si>
    <t>国有控股公司股利、股息收入</t>
  </si>
  <si>
    <t>103060203</t>
  </si>
  <si>
    <t>国有参股公司股利、股息收入</t>
  </si>
  <si>
    <t>103060204</t>
  </si>
  <si>
    <t>金融企业股利、股息收入（国资预算）</t>
  </si>
  <si>
    <t>103060298</t>
  </si>
  <si>
    <t>其他国有资本经营预算企业股利、股息收入</t>
  </si>
  <si>
    <t>1030603</t>
  </si>
  <si>
    <t>国有股减持转让收入</t>
  </si>
  <si>
    <t>103060304</t>
  </si>
  <si>
    <t>国有股权、股份转让收入</t>
  </si>
  <si>
    <t>103060305</t>
  </si>
  <si>
    <t>国有独资企业产权转让收入</t>
  </si>
  <si>
    <t>103060307</t>
  </si>
  <si>
    <t>金融企业产权转让收入</t>
  </si>
  <si>
    <t>103060398</t>
  </si>
  <si>
    <t>其他国有资本经营预算企业产权转让收入</t>
  </si>
  <si>
    <t>1030604</t>
  </si>
  <si>
    <t>103060401</t>
  </si>
  <si>
    <t>国有股权、股份清算收入</t>
  </si>
  <si>
    <t>103060402</t>
  </si>
  <si>
    <t>国有独资企业清算收入</t>
  </si>
  <si>
    <t>103060498</t>
  </si>
  <si>
    <t>其他国有资本预算企业清算收入</t>
  </si>
  <si>
    <t>1030698</t>
  </si>
  <si>
    <t>注：以上科目以2022年政府收支科目为准。</t>
  </si>
  <si>
    <t>表十三</t>
  </si>
  <si>
    <t>2022年国有资本经营预算支出表</t>
  </si>
  <si>
    <t>科目名称</t>
  </si>
  <si>
    <t>资本性支出</t>
  </si>
  <si>
    <t xml:space="preserve">费用性支出 </t>
  </si>
  <si>
    <t xml:space="preserve">一、国有资本经营预算支出 </t>
  </si>
  <si>
    <t xml:space="preserve">  解决历史遗留问题及改革成本支出</t>
  </si>
  <si>
    <t xml:space="preserve">    厂办大集体改革支出</t>
  </si>
  <si>
    <t>2230102</t>
  </si>
  <si>
    <r>
      <rPr>
        <sz val="11"/>
        <color indexed="8"/>
        <rFont val="宋体"/>
        <charset val="134"/>
        <scheme val="minor"/>
      </rPr>
      <t xml:space="preserve">    </t>
    </r>
    <r>
      <rPr>
        <sz val="11"/>
        <color indexed="8"/>
        <rFont val="宋体"/>
        <charset val="134"/>
        <scheme val="minor"/>
      </rPr>
      <t>“三供一业”移交补助支出</t>
    </r>
  </si>
  <si>
    <t>2230103</t>
  </si>
  <si>
    <r>
      <rPr>
        <sz val="11"/>
        <color indexed="8"/>
        <rFont val="宋体"/>
        <charset val="134"/>
        <scheme val="minor"/>
      </rPr>
      <t xml:space="preserve">    </t>
    </r>
    <r>
      <rPr>
        <sz val="11"/>
        <color indexed="8"/>
        <rFont val="宋体"/>
        <charset val="134"/>
        <scheme val="minor"/>
      </rPr>
      <t>国有企业办职教幼教补助支出</t>
    </r>
  </si>
  <si>
    <t xml:space="preserve">    国有企业办公共服务机构移交补助支出</t>
  </si>
  <si>
    <t>2230105</t>
  </si>
  <si>
    <r>
      <rPr>
        <sz val="11"/>
        <color indexed="8"/>
        <rFont val="宋体"/>
        <charset val="134"/>
        <scheme val="minor"/>
      </rPr>
      <t xml:space="preserve">    </t>
    </r>
    <r>
      <rPr>
        <sz val="11"/>
        <color indexed="8"/>
        <rFont val="宋体"/>
        <charset val="134"/>
        <scheme val="minor"/>
      </rPr>
      <t>国有企业退休人员社会化管理补助支出</t>
    </r>
  </si>
  <si>
    <t xml:space="preserve">    国有企业棚户区改造支出</t>
  </si>
  <si>
    <t>2230107</t>
  </si>
  <si>
    <r>
      <rPr>
        <sz val="11"/>
        <color indexed="8"/>
        <rFont val="宋体"/>
        <charset val="134"/>
        <scheme val="minor"/>
      </rPr>
      <t xml:space="preserve">    </t>
    </r>
    <r>
      <rPr>
        <sz val="11"/>
        <color indexed="8"/>
        <rFont val="宋体"/>
        <charset val="134"/>
        <scheme val="minor"/>
      </rPr>
      <t>国有企业改革成本支出</t>
    </r>
  </si>
  <si>
    <t xml:space="preserve">    离休干部医药费补助支出</t>
  </si>
  <si>
    <t xml:space="preserve">    金融企业改革性支出</t>
  </si>
  <si>
    <t>2230199</t>
  </si>
  <si>
    <r>
      <rPr>
        <sz val="11"/>
        <color indexed="8"/>
        <rFont val="宋体"/>
        <charset val="134"/>
        <scheme val="minor"/>
      </rPr>
      <t xml:space="preserve">    </t>
    </r>
    <r>
      <rPr>
        <sz val="11"/>
        <color indexed="8"/>
        <rFont val="宋体"/>
        <charset val="134"/>
        <scheme val="minor"/>
      </rPr>
      <t>其他解决历史遗留问题及改革成本支出</t>
    </r>
  </si>
  <si>
    <t xml:space="preserve">  国有企业资本金注入</t>
  </si>
  <si>
    <t>2230201</t>
  </si>
  <si>
    <r>
      <rPr>
        <sz val="11"/>
        <color indexed="8"/>
        <rFont val="宋体"/>
        <charset val="134"/>
        <scheme val="minor"/>
      </rPr>
      <t xml:space="preserve">    </t>
    </r>
    <r>
      <rPr>
        <sz val="11"/>
        <color indexed="8"/>
        <rFont val="宋体"/>
        <charset val="134"/>
        <scheme val="minor"/>
      </rPr>
      <t>国有经济结构调整支出</t>
    </r>
  </si>
  <si>
    <t>2230202</t>
  </si>
  <si>
    <r>
      <rPr>
        <sz val="11"/>
        <color indexed="8"/>
        <rFont val="宋体"/>
        <charset val="134"/>
        <scheme val="minor"/>
      </rPr>
      <t xml:space="preserve">    </t>
    </r>
    <r>
      <rPr>
        <sz val="11"/>
        <color indexed="8"/>
        <rFont val="宋体"/>
        <charset val="134"/>
        <scheme val="minor"/>
      </rPr>
      <t>公益性设施投资支出</t>
    </r>
  </si>
  <si>
    <t xml:space="preserve">    前瞻性战略性产业发展支出</t>
  </si>
  <si>
    <t>2230204</t>
  </si>
  <si>
    <r>
      <rPr>
        <sz val="11"/>
        <color indexed="8"/>
        <rFont val="宋体"/>
        <charset val="134"/>
        <scheme val="minor"/>
      </rPr>
      <t xml:space="preserve">    </t>
    </r>
    <r>
      <rPr>
        <sz val="11"/>
        <color indexed="8"/>
        <rFont val="宋体"/>
        <charset val="134"/>
        <scheme val="minor"/>
      </rPr>
      <t>生态环境保护支出</t>
    </r>
  </si>
  <si>
    <t xml:space="preserve">    支持科技进步支出</t>
  </si>
  <si>
    <t xml:space="preserve">    保障国家经济安全支出</t>
  </si>
  <si>
    <t xml:space="preserve">    对外投资合作支出</t>
  </si>
  <si>
    <t xml:space="preserve">    金融企业资本性支出</t>
  </si>
  <si>
    <t>2230299</t>
  </si>
  <si>
    <r>
      <rPr>
        <sz val="11"/>
        <color indexed="8"/>
        <rFont val="宋体"/>
        <charset val="134"/>
        <scheme val="minor"/>
      </rPr>
      <t xml:space="preserve">    </t>
    </r>
    <r>
      <rPr>
        <sz val="11"/>
        <color indexed="8"/>
        <rFont val="宋体"/>
        <charset val="134"/>
        <scheme val="minor"/>
      </rPr>
      <t>其他国有企业资本金注入</t>
    </r>
  </si>
  <si>
    <t xml:space="preserve">  国有企业政策性补贴</t>
  </si>
  <si>
    <t>2230301</t>
  </si>
  <si>
    <r>
      <rPr>
        <sz val="11"/>
        <color indexed="8"/>
        <rFont val="宋体"/>
        <charset val="134"/>
        <scheme val="minor"/>
      </rPr>
      <t xml:space="preserve">    </t>
    </r>
    <r>
      <rPr>
        <sz val="11"/>
        <color indexed="8"/>
        <rFont val="宋体"/>
        <charset val="134"/>
        <scheme val="minor"/>
      </rPr>
      <t>国有企业政策性补贴</t>
    </r>
  </si>
  <si>
    <r>
      <rPr>
        <sz val="11"/>
        <color indexed="8"/>
        <rFont val="宋体"/>
        <charset val="134"/>
        <scheme val="minor"/>
      </rPr>
      <t xml:space="preserve">  </t>
    </r>
    <r>
      <rPr>
        <sz val="11"/>
        <color indexed="8"/>
        <rFont val="宋体"/>
        <charset val="134"/>
        <scheme val="minor"/>
      </rPr>
      <t>其他国有资本经营预算支出</t>
    </r>
  </si>
  <si>
    <r>
      <rPr>
        <sz val="11"/>
        <color indexed="8"/>
        <rFont val="宋体"/>
        <charset val="134"/>
        <scheme val="minor"/>
      </rPr>
      <t xml:space="preserve">    </t>
    </r>
    <r>
      <rPr>
        <sz val="11"/>
        <color indexed="8"/>
        <rFont val="宋体"/>
        <charset val="134"/>
        <scheme val="minor"/>
      </rPr>
      <t>其他国有资本经营预算支出</t>
    </r>
  </si>
  <si>
    <t>注：以上科目以2022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</si>
  <si>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表十四</t>
  </si>
  <si>
    <t>2022年国有资本经营预算基础信息表</t>
  </si>
  <si>
    <t>项   目</t>
  </si>
  <si>
    <t>一、实施范围</t>
  </si>
  <si>
    <t>预算单位户数</t>
  </si>
  <si>
    <t>国有及国有控、参股企业户数（法人企业）</t>
  </si>
  <si>
    <t xml:space="preserve">    其中：纳入预算实施范围企业户数（法人企业）</t>
  </si>
  <si>
    <t>是否包括金融企业</t>
  </si>
  <si>
    <t/>
  </si>
  <si>
    <t>是否包括文化企业</t>
  </si>
  <si>
    <t>是否包括部门所属企业</t>
  </si>
  <si>
    <t>是否包括事业单位出资企业</t>
  </si>
  <si>
    <t>二、主要财务指标</t>
  </si>
  <si>
    <t>（一）国有及国有控、参股企业</t>
  </si>
  <si>
    <t>资产总额合计</t>
  </si>
  <si>
    <t>负债总额合计</t>
  </si>
  <si>
    <t>所有者权益合计</t>
  </si>
  <si>
    <t>利润总额合计</t>
  </si>
  <si>
    <t>净利润合计</t>
  </si>
  <si>
    <t>归属于母公司所有者净利润合计</t>
  </si>
  <si>
    <t>（二）纳入预算实施范围企业</t>
  </si>
  <si>
    <t>21</t>
  </si>
  <si>
    <t>22</t>
  </si>
  <si>
    <t>23</t>
  </si>
  <si>
    <t>三、国有资本收益情况</t>
  </si>
  <si>
    <t>24</t>
  </si>
  <si>
    <t>比例类型（单一比例/分类比例）</t>
  </si>
  <si>
    <t>25</t>
  </si>
  <si>
    <t>比例数值</t>
  </si>
  <si>
    <t>26</t>
  </si>
  <si>
    <t>四、编报情况</t>
  </si>
  <si>
    <t>27</t>
  </si>
  <si>
    <t>上报级次（人大/政府）</t>
  </si>
  <si>
    <t>28</t>
  </si>
  <si>
    <t>上报起始年</t>
  </si>
  <si>
    <t>29</t>
  </si>
  <si>
    <t>注：以上项目以2022年政府收支分类科目为准。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</si>
</sst>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 numFmtId="179" formatCode="0_ "/>
    <numFmt numFmtId="180" formatCode="0.0_ "/>
  </numFmts>
  <fonts count="44">
    <font>
      <sz val="12"/>
      <name val="宋体"/>
      <charset val="134"/>
    </font>
    <font>
      <b/>
      <sz val="16"/>
      <name val="黑体"/>
      <charset val="134"/>
    </font>
    <font>
      <sz val="11"/>
      <name val="宋体"/>
      <charset val="134"/>
      <scheme val="minor"/>
    </font>
    <font>
      <sz val="12"/>
      <name val="黑体"/>
      <charset val="134"/>
    </font>
    <font>
      <b/>
      <sz val="18"/>
      <name val="黑体"/>
      <charset val="134"/>
    </font>
    <font>
      <sz val="11"/>
      <color indexed="8"/>
      <name val="宋体"/>
      <charset val="134"/>
      <scheme val="minor"/>
    </font>
    <font>
      <b/>
      <sz val="14"/>
      <name val="黑体"/>
      <charset val="134"/>
    </font>
    <font>
      <b/>
      <sz val="11"/>
      <name val="宋体"/>
      <charset val="134"/>
      <scheme val="minor"/>
    </font>
    <font>
      <b/>
      <sz val="11"/>
      <name val="宋体"/>
      <charset val="134"/>
    </font>
    <font>
      <b/>
      <sz val="12"/>
      <name val="宋体"/>
      <charset val="134"/>
    </font>
    <font>
      <b/>
      <sz val="9"/>
      <name val="宋体"/>
      <charset val="134"/>
    </font>
    <font>
      <sz val="12"/>
      <name val="宋体"/>
      <charset val="134"/>
      <scheme val="minor"/>
    </font>
    <font>
      <sz val="11"/>
      <name val="宋体"/>
      <charset val="134"/>
    </font>
    <font>
      <b/>
      <sz val="11"/>
      <color indexed="8"/>
      <name val="宋体"/>
      <charset val="134"/>
    </font>
    <font>
      <sz val="11"/>
      <color rgb="FFFF0000"/>
      <name val="宋体"/>
      <charset val="134"/>
      <scheme val="minor"/>
    </font>
    <font>
      <sz val="10"/>
      <name val="宋体"/>
      <charset val="134"/>
    </font>
    <font>
      <sz val="11"/>
      <color theme="1"/>
      <name val="宋体"/>
      <charset val="134"/>
      <scheme val="minor"/>
    </font>
    <font>
      <sz val="16"/>
      <name val="黑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9" tint="0.39997558519241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6"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7" borderId="18" applyNumberFormat="0" applyAlignment="0" applyProtection="0">
      <alignment vertical="center"/>
    </xf>
    <xf numFmtId="0" fontId="33" fillId="8" borderId="19" applyNumberFormat="0" applyAlignment="0" applyProtection="0">
      <alignment vertical="center"/>
    </xf>
    <xf numFmtId="0" fontId="34" fillId="8" borderId="18" applyNumberFormat="0" applyAlignment="0" applyProtection="0">
      <alignment vertical="center"/>
    </xf>
    <xf numFmtId="0" fontId="35" fillId="9"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4"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43"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cellStyleXfs>
  <cellXfs count="270">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4" fillId="0" borderId="0" xfId="51" applyFont="1" applyFill="1" applyAlignment="1">
      <alignment horizontal="center" vertical="center"/>
    </xf>
    <xf numFmtId="0" fontId="2" fillId="0" borderId="0"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left" vertical="center"/>
    </xf>
    <xf numFmtId="176" fontId="5" fillId="0" borderId="1" xfId="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5" fillId="0" borderId="1" xfId="0" applyFont="1" applyFill="1" applyBorder="1" applyAlignment="1">
      <alignment horizontal="right" vertical="center"/>
    </xf>
    <xf numFmtId="177" fontId="5" fillId="0" borderId="1" xfId="0" applyNumberFormat="1" applyFont="1" applyFill="1" applyBorder="1" applyAlignment="1">
      <alignment horizontal="right" vertical="center"/>
    </xf>
    <xf numFmtId="0" fontId="2" fillId="0" borderId="0" xfId="0" applyFont="1" applyFill="1" applyBorder="1" applyAlignment="1">
      <alignment horizontal="right"/>
    </xf>
    <xf numFmtId="0" fontId="2" fillId="0" borderId="0" xfId="0" applyFont="1" applyFill="1" applyAlignment="1">
      <alignment horizontal="left"/>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177" fontId="5" fillId="2" borderId="1" xfId="0" applyNumberFormat="1" applyFont="1" applyFill="1" applyBorder="1" applyAlignment="1">
      <alignment horizontal="right" vertical="center"/>
    </xf>
    <xf numFmtId="0" fontId="5" fillId="0" borderId="1" xfId="0" applyFont="1" applyFill="1" applyBorder="1" applyAlignment="1">
      <alignment horizontal="justify" vertical="center"/>
    </xf>
    <xf numFmtId="0" fontId="5" fillId="0" borderId="0" xfId="0" applyFont="1" applyFill="1" applyBorder="1" applyAlignment="1">
      <alignment horizontal="justify"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178" fontId="5" fillId="0" borderId="1" xfId="0" applyNumberFormat="1" applyFont="1" applyFill="1" applyBorder="1" applyAlignment="1">
      <alignment horizontal="right" vertical="center"/>
    </xf>
    <xf numFmtId="0" fontId="6" fillId="0" borderId="0" xfId="0" applyFont="1" applyFill="1" applyBorder="1" applyAlignment="1">
      <alignment horizontal="center" vertical="center"/>
    </xf>
    <xf numFmtId="0" fontId="2" fillId="2" borderId="1" xfId="0" applyFont="1" applyFill="1" applyBorder="1" applyAlignment="1">
      <alignment vertical="center" wrapText="1"/>
    </xf>
    <xf numFmtId="0" fontId="2" fillId="0" borderId="0" xfId="0" applyFont="1" applyFill="1" applyBorder="1" applyAlignment="1">
      <alignment wrapText="1"/>
    </xf>
    <xf numFmtId="0" fontId="4"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Fill="1" applyBorder="1" applyAlignment="1">
      <alignment vertical="center" wrapText="1"/>
    </xf>
    <xf numFmtId="0" fontId="5" fillId="0" borderId="0" xfId="0" applyFont="1" applyFill="1" applyBorder="1" applyAlignment="1">
      <alignment horizontal="left" vertical="center" wrapText="1"/>
    </xf>
    <xf numFmtId="0" fontId="2" fillId="0" borderId="0" xfId="0" applyFont="1" applyFill="1" applyAlignment="1">
      <alignment horizontal="center"/>
    </xf>
    <xf numFmtId="0" fontId="1" fillId="0" borderId="0" xfId="0" applyFont="1" applyFill="1" applyAlignment="1">
      <alignment vertical="center"/>
    </xf>
    <xf numFmtId="0" fontId="7"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2" fillId="0" borderId="0" xfId="0" applyFont="1" applyFill="1" applyAlignment="1">
      <alignment horizontal="righ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7" fillId="0" borderId="5" xfId="0" applyFont="1" applyFill="1" applyBorder="1" applyAlignment="1">
      <alignment horizontal="center" vertical="center" wrapText="1"/>
    </xf>
    <xf numFmtId="3" fontId="2" fillId="0" borderId="1" xfId="0" applyNumberFormat="1" applyFont="1" applyFill="1" applyBorder="1" applyAlignment="1" applyProtection="1">
      <alignment vertical="center"/>
    </xf>
    <xf numFmtId="3" fontId="2" fillId="0" borderId="1" xfId="0" applyNumberFormat="1" applyFont="1" applyFill="1" applyBorder="1" applyAlignment="1" applyProtection="1">
      <alignment horizontal="left" vertic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xf>
    <xf numFmtId="0" fontId="2" fillId="0" borderId="1" xfId="53" applyFont="1" applyFill="1" applyBorder="1" applyAlignment="1">
      <alignment vertical="center" wrapText="1"/>
    </xf>
    <xf numFmtId="0" fontId="2" fillId="0" borderId="1" xfId="0" applyFont="1" applyFill="1" applyBorder="1" applyAlignment="1">
      <alignment vertical="center"/>
    </xf>
    <xf numFmtId="0" fontId="7" fillId="0" borderId="1" xfId="0" applyFont="1" applyFill="1" applyBorder="1" applyAlignment="1">
      <alignment horizontal="distributed" vertical="center"/>
    </xf>
    <xf numFmtId="0" fontId="2" fillId="0" borderId="6" xfId="0" applyFont="1" applyFill="1" applyBorder="1" applyAlignment="1">
      <alignment horizontal="left" vertical="center"/>
    </xf>
    <xf numFmtId="0" fontId="7" fillId="3" borderId="0" xfId="0" applyFont="1" applyFill="1" applyAlignment="1">
      <alignment vertical="center"/>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0" xfId="0" applyFont="1" applyFill="1"/>
    <xf numFmtId="0" fontId="2" fillId="0" borderId="0" xfId="0" applyFont="1" applyFill="1"/>
    <xf numFmtId="41" fontId="2" fillId="0" borderId="0" xfId="0" applyNumberFormat="1" applyFont="1" applyFill="1" applyAlignment="1">
      <alignment wrapText="1"/>
    </xf>
    <xf numFmtId="0" fontId="2" fillId="0" borderId="0" xfId="0" applyFont="1" applyFill="1" applyBorder="1"/>
    <xf numFmtId="0" fontId="3" fillId="0" borderId="0" xfId="0" applyFont="1" applyFill="1"/>
    <xf numFmtId="0" fontId="1" fillId="0" borderId="0" xfId="0" applyFont="1" applyFill="1" applyBorder="1"/>
    <xf numFmtId="41" fontId="2" fillId="0" borderId="0" xfId="0" applyNumberFormat="1" applyFont="1" applyFill="1" applyBorder="1" applyAlignment="1">
      <alignment wrapText="1"/>
    </xf>
    <xf numFmtId="41" fontId="2" fillId="0" borderId="0" xfId="0" applyNumberFormat="1" applyFont="1" applyFill="1" applyBorder="1" applyAlignment="1">
      <alignment horizontal="right" wrapText="1"/>
    </xf>
    <xf numFmtId="0" fontId="7" fillId="0" borderId="1" xfId="0" applyFont="1" applyFill="1" applyBorder="1" applyAlignment="1">
      <alignment horizontal="center" vertical="center" wrapText="1"/>
    </xf>
    <xf numFmtId="41" fontId="7" fillId="0" borderId="1" xfId="0" applyNumberFormat="1" applyFont="1" applyFill="1" applyBorder="1" applyAlignment="1">
      <alignment horizontal="center" vertical="center" wrapText="1"/>
    </xf>
    <xf numFmtId="41" fontId="8" fillId="0" borderId="1" xfId="53" applyNumberFormat="1" applyFont="1" applyFill="1" applyBorder="1" applyAlignment="1">
      <alignment horizontal="center" vertical="center" wrapText="1"/>
    </xf>
    <xf numFmtId="41" fontId="2" fillId="0" borderId="1" xfId="0" applyNumberFormat="1" applyFont="1" applyFill="1" applyBorder="1" applyAlignment="1">
      <alignment wrapText="1"/>
    </xf>
    <xf numFmtId="41" fontId="2" fillId="0" borderId="1" xfId="0" applyNumberFormat="1" applyFont="1" applyFill="1" applyBorder="1" applyAlignment="1">
      <alignment vertical="center" wrapText="1"/>
    </xf>
    <xf numFmtId="41" fontId="2" fillId="2" borderId="1" xfId="52" applyNumberFormat="1" applyFont="1" applyFill="1" applyBorder="1" applyAlignment="1" applyProtection="1">
      <alignment horizontal="distributed" vertical="center" wrapText="1"/>
    </xf>
    <xf numFmtId="0" fontId="7" fillId="0" borderId="1" xfId="0" applyFont="1" applyFill="1" applyBorder="1" applyAlignment="1">
      <alignment horizontal="center" vertical="center"/>
    </xf>
    <xf numFmtId="0" fontId="8" fillId="0" borderId="1" xfId="53" applyFont="1" applyFill="1" applyBorder="1" applyAlignment="1">
      <alignment horizontal="center" vertical="center" wrapText="1"/>
    </xf>
    <xf numFmtId="0" fontId="2" fillId="2" borderId="1" xfId="0" applyFont="1" applyFill="1" applyBorder="1" applyAlignment="1">
      <alignment vertical="center"/>
    </xf>
    <xf numFmtId="3" fontId="2" fillId="2" borderId="1" xfId="0" applyNumberFormat="1" applyFont="1" applyFill="1" applyBorder="1" applyAlignment="1" applyProtection="1">
      <alignment vertical="center"/>
    </xf>
    <xf numFmtId="0" fontId="7" fillId="0" borderId="1" xfId="0" applyFont="1" applyFill="1" applyBorder="1" applyAlignment="1">
      <alignment vertical="center"/>
    </xf>
    <xf numFmtId="0" fontId="2" fillId="0" borderId="1" xfId="0" applyFont="1" applyFill="1" applyBorder="1" applyAlignment="1">
      <alignment horizontal="left" vertical="center" indent="3"/>
    </xf>
    <xf numFmtId="0" fontId="2" fillId="0" borderId="0" xfId="0" applyFont="1" applyFill="1" applyAlignment="1">
      <alignment horizontal="right" vertical="center"/>
    </xf>
    <xf numFmtId="3" fontId="7" fillId="2" borderId="1" xfId="0" applyNumberFormat="1" applyFont="1" applyFill="1" applyBorder="1" applyAlignment="1">
      <alignment horizontal="distributed" vertical="center"/>
    </xf>
    <xf numFmtId="1" fontId="7" fillId="2" borderId="1" xfId="0" applyNumberFormat="1" applyFont="1" applyFill="1" applyBorder="1" applyAlignment="1">
      <alignment vertical="center"/>
    </xf>
    <xf numFmtId="1" fontId="2" fillId="0" borderId="1" xfId="0" applyNumberFormat="1" applyFont="1" applyFill="1" applyBorder="1" applyAlignment="1" applyProtection="1">
      <alignment vertical="center"/>
      <protection locked="0"/>
    </xf>
    <xf numFmtId="0" fontId="8" fillId="4" borderId="1" xfId="0" applyFont="1" applyFill="1" applyBorder="1" applyAlignment="1">
      <alignment vertical="center"/>
    </xf>
    <xf numFmtId="0" fontId="0" fillId="4" borderId="1" xfId="0" applyFont="1" applyFill="1" applyBorder="1" applyAlignment="1">
      <alignment horizontal="center" vertical="center"/>
    </xf>
    <xf numFmtId="178" fontId="0"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10" fillId="4" borderId="1" xfId="0" applyFont="1" applyFill="1" applyBorder="1" applyAlignment="1">
      <alignment vertical="center"/>
    </xf>
    <xf numFmtId="0" fontId="0" fillId="0" borderId="1" xfId="0" applyFont="1" applyFill="1" applyBorder="1" applyAlignment="1">
      <alignment horizontal="center" vertical="center"/>
    </xf>
    <xf numFmtId="0" fontId="2" fillId="4" borderId="1" xfId="0" applyFont="1" applyFill="1" applyBorder="1" applyAlignment="1">
      <alignment horizontal="center" vertical="center"/>
    </xf>
    <xf numFmtId="178" fontId="11" fillId="4" borderId="1" xfId="0" applyNumberFormat="1" applyFont="1" applyFill="1" applyBorder="1" applyAlignment="1">
      <alignment horizontal="center" vertical="center"/>
    </xf>
    <xf numFmtId="0" fontId="0" fillId="0" borderId="0" xfId="53" applyFont="1" applyFill="1" applyAlignment="1">
      <alignment vertical="center"/>
    </xf>
    <xf numFmtId="0" fontId="3" fillId="0" borderId="0" xfId="53" applyFont="1" applyFill="1" applyAlignment="1">
      <alignment vertical="center"/>
    </xf>
    <xf numFmtId="0" fontId="12" fillId="0" borderId="0" xfId="53" applyFont="1" applyFill="1" applyAlignment="1">
      <alignment vertical="center"/>
    </xf>
    <xf numFmtId="0" fontId="8" fillId="0" borderId="0" xfId="57" applyFont="1" applyFill="1" applyAlignment="1"/>
    <xf numFmtId="0" fontId="0" fillId="0" borderId="0" xfId="57" applyFont="1" applyFill="1" applyAlignment="1"/>
    <xf numFmtId="0" fontId="0" fillId="0" borderId="0" xfId="57" applyFont="1" applyFill="1" applyAlignment="1">
      <alignment horizontal="center"/>
    </xf>
    <xf numFmtId="0" fontId="0" fillId="0" borderId="0" xfId="57" applyFont="1" applyFill="1" applyAlignment="1">
      <alignment wrapText="1"/>
    </xf>
    <xf numFmtId="0" fontId="0" fillId="0" borderId="0" xfId="57" applyFill="1" applyAlignment="1"/>
    <xf numFmtId="0" fontId="0" fillId="0" borderId="0" xfId="53" applyFont="1" applyFill="1" applyAlignment="1">
      <alignment vertical="center" wrapText="1"/>
    </xf>
    <xf numFmtId="0" fontId="4" fillId="0" borderId="0" xfId="53" applyFont="1" applyFill="1" applyAlignment="1">
      <alignment horizontal="center" vertical="center"/>
    </xf>
    <xf numFmtId="0" fontId="12" fillId="0" borderId="0" xfId="53" applyFont="1" applyFill="1" applyAlignment="1">
      <alignment horizontal="center" vertical="center"/>
    </xf>
    <xf numFmtId="0" fontId="12" fillId="0" borderId="7" xfId="53" applyFont="1" applyFill="1" applyBorder="1" applyAlignment="1">
      <alignment horizontal="right" vertical="center" wrapText="1"/>
    </xf>
    <xf numFmtId="49" fontId="13" fillId="0" borderId="8"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0" fontId="8" fillId="0" borderId="2" xfId="53" applyFont="1" applyFill="1" applyBorder="1" applyAlignment="1">
      <alignment horizontal="center" vertical="center" wrapText="1"/>
    </xf>
    <xf numFmtId="0" fontId="8" fillId="0" borderId="9" xfId="53" applyFont="1" applyFill="1" applyBorder="1" applyAlignment="1">
      <alignment horizontal="center" vertical="center"/>
    </xf>
    <xf numFmtId="0" fontId="8" fillId="0" borderId="10" xfId="53" applyFont="1" applyFill="1" applyBorder="1" applyAlignment="1">
      <alignment horizontal="center" vertical="center"/>
    </xf>
    <xf numFmtId="0" fontId="8" fillId="0" borderId="11" xfId="53" applyFont="1" applyFill="1" applyBorder="1" applyAlignment="1">
      <alignment horizontal="center" vertical="center"/>
    </xf>
    <xf numFmtId="49" fontId="13" fillId="0" borderId="12"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0" fontId="8" fillId="0" borderId="3" xfId="53" applyFont="1" applyFill="1" applyBorder="1" applyAlignment="1">
      <alignment horizontal="center" vertical="center" wrapText="1"/>
    </xf>
    <xf numFmtId="0" fontId="8" fillId="0" borderId="1" xfId="53" applyFont="1" applyFill="1" applyBorder="1" applyAlignment="1">
      <alignment horizontal="center" vertical="center"/>
    </xf>
    <xf numFmtId="49" fontId="13" fillId="0" borderId="1" xfId="0" applyNumberFormat="1" applyFont="1" applyFill="1" applyBorder="1" applyAlignment="1">
      <alignment horizontal="left" vertical="center"/>
    </xf>
    <xf numFmtId="0" fontId="13" fillId="0" borderId="1" xfId="0" applyFont="1" applyFill="1" applyBorder="1" applyAlignment="1">
      <alignment horizontal="left" vertical="center"/>
    </xf>
    <xf numFmtId="41" fontId="13" fillId="0" borderId="12" xfId="0" applyNumberFormat="1" applyFont="1" applyFill="1" applyBorder="1" applyAlignment="1">
      <alignment horizontal="left" vertical="center"/>
    </xf>
    <xf numFmtId="41" fontId="8" fillId="0" borderId="12" xfId="53" applyNumberFormat="1" applyFont="1" applyFill="1" applyBorder="1" applyAlignment="1">
      <alignment horizontal="center" vertical="center" wrapText="1"/>
    </xf>
    <xf numFmtId="41" fontId="8" fillId="0" borderId="1" xfId="53"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shrinkToFit="1"/>
    </xf>
    <xf numFmtId="41" fontId="13" fillId="2" borderId="12" xfId="0" applyNumberFormat="1" applyFont="1" applyFill="1" applyBorder="1" applyAlignment="1">
      <alignment horizontal="left" vertical="center" wrapText="1" shrinkToFit="1"/>
    </xf>
    <xf numFmtId="41" fontId="13" fillId="0" borderId="12" xfId="0" applyNumberFormat="1" applyFont="1" applyFill="1" applyBorder="1" applyAlignment="1">
      <alignment horizontal="left" vertical="center" wrapText="1" shrinkToFit="1"/>
    </xf>
    <xf numFmtId="0" fontId="8" fillId="0" borderId="9" xfId="57" applyNumberFormat="1" applyFont="1" applyFill="1" applyBorder="1" applyAlignment="1" applyProtection="1">
      <alignment horizontal="center" vertical="center"/>
    </xf>
    <xf numFmtId="0" fontId="8" fillId="0" borderId="11" xfId="57" applyNumberFormat="1" applyFont="1" applyFill="1" applyBorder="1" applyAlignment="1" applyProtection="1">
      <alignment horizontal="center" vertical="center"/>
    </xf>
    <xf numFmtId="41" fontId="8" fillId="2" borderId="11" xfId="57" applyNumberFormat="1" applyFont="1" applyFill="1" applyBorder="1" applyAlignment="1" applyProtection="1">
      <alignment horizontal="center" vertical="center"/>
    </xf>
    <xf numFmtId="0" fontId="1" fillId="0" borderId="0" xfId="55" applyFont="1" applyFill="1"/>
    <xf numFmtId="0" fontId="2" fillId="0" borderId="0" xfId="55" applyFont="1" applyFill="1"/>
    <xf numFmtId="0" fontId="14" fillId="0" borderId="0" xfId="55" applyFont="1" applyFill="1"/>
    <xf numFmtId="0" fontId="2" fillId="0" borderId="0" xfId="55" applyNumberFormat="1" applyFont="1" applyFill="1" applyAlignment="1" applyProtection="1">
      <alignment horizontal="right" vertical="center"/>
    </xf>
    <xf numFmtId="0" fontId="2" fillId="0" borderId="1" xfId="55" applyNumberFormat="1" applyFont="1" applyFill="1" applyBorder="1" applyAlignment="1" applyProtection="1">
      <alignment horizontal="center" vertical="center"/>
    </xf>
    <xf numFmtId="0" fontId="2" fillId="0" borderId="1" xfId="55" applyNumberFormat="1" applyFont="1" applyFill="1" applyBorder="1" applyAlignment="1" applyProtection="1">
      <alignment horizontal="centerContinuous" vertical="center" wrapText="1"/>
    </xf>
    <xf numFmtId="0" fontId="2" fillId="0" borderId="1" xfId="55"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left" vertical="center"/>
    </xf>
    <xf numFmtId="3" fontId="2" fillId="0" borderId="1" xfId="55" applyNumberFormat="1" applyFont="1" applyFill="1" applyBorder="1" applyAlignment="1" applyProtection="1">
      <alignment horizontal="right" vertical="center"/>
    </xf>
    <xf numFmtId="0" fontId="2" fillId="0" borderId="1" xfId="55" applyFont="1" applyFill="1" applyBorder="1"/>
    <xf numFmtId="41" fontId="2" fillId="2" borderId="1" xfId="55" applyNumberFormat="1" applyFont="1" applyFill="1" applyBorder="1"/>
    <xf numFmtId="41" fontId="2" fillId="0" borderId="1" xfId="55" applyNumberFormat="1" applyFont="1" applyFill="1" applyBorder="1"/>
    <xf numFmtId="0" fontId="14" fillId="0" borderId="0" xfId="55" applyNumberFormat="1" applyFont="1" applyFill="1" applyAlignment="1" applyProtection="1">
      <alignment horizontal="right" vertical="center"/>
    </xf>
    <xf numFmtId="0" fontId="14" fillId="0" borderId="1" xfId="55" applyNumberFormat="1" applyFont="1" applyFill="1" applyBorder="1" applyAlignment="1" applyProtection="1">
      <alignment horizontal="centerContinuous" vertical="center" wrapText="1"/>
    </xf>
    <xf numFmtId="3" fontId="14" fillId="0" borderId="1" xfId="55" applyNumberFormat="1" applyFont="1" applyFill="1" applyBorder="1" applyAlignment="1" applyProtection="1">
      <alignment horizontal="right" vertical="center"/>
    </xf>
    <xf numFmtId="0" fontId="14" fillId="0" borderId="1" xfId="55" applyFont="1" applyFill="1" applyBorder="1"/>
    <xf numFmtId="41" fontId="14" fillId="0" borderId="1" xfId="55" applyNumberFormat="1" applyFont="1" applyFill="1" applyBorder="1"/>
    <xf numFmtId="41" fontId="2" fillId="0" borderId="0" xfId="55" applyNumberFormat="1" applyFont="1" applyFill="1"/>
    <xf numFmtId="41" fontId="14" fillId="0" borderId="0" xfId="55" applyNumberFormat="1" applyFont="1" applyFill="1"/>
    <xf numFmtId="41" fontId="2" fillId="0" borderId="0" xfId="55" applyNumberFormat="1" applyFont="1" applyFill="1" applyAlignment="1" applyProtection="1">
      <alignment horizontal="right" vertical="center"/>
    </xf>
    <xf numFmtId="41" fontId="2" fillId="0" borderId="1" xfId="55" applyNumberFormat="1" applyFont="1" applyFill="1" applyBorder="1" applyAlignment="1" applyProtection="1">
      <alignment horizontal="centerContinuous" vertical="center" wrapText="1"/>
    </xf>
    <xf numFmtId="41" fontId="2" fillId="0" borderId="1" xfId="55" applyNumberFormat="1" applyFont="1" applyFill="1" applyBorder="1" applyAlignment="1" applyProtection="1">
      <alignment horizontal="center" vertical="center" wrapText="1"/>
    </xf>
    <xf numFmtId="41" fontId="2" fillId="0" borderId="1" xfId="55" applyNumberFormat="1" applyFont="1" applyFill="1" applyBorder="1" applyAlignment="1" applyProtection="1">
      <alignment horizontal="right" vertical="center"/>
    </xf>
    <xf numFmtId="41" fontId="14" fillId="0" borderId="0" xfId="55" applyNumberFormat="1" applyFont="1" applyFill="1" applyAlignment="1" applyProtection="1">
      <alignment horizontal="right" vertical="center"/>
    </xf>
    <xf numFmtId="41" fontId="14" fillId="0" borderId="1" xfId="55" applyNumberFormat="1" applyFont="1" applyFill="1" applyBorder="1" applyAlignment="1" applyProtection="1">
      <alignment horizontal="centerContinuous" vertical="center" wrapText="1"/>
    </xf>
    <xf numFmtId="41" fontId="14" fillId="0" borderId="1" xfId="55" applyNumberFormat="1" applyFont="1" applyFill="1" applyBorder="1" applyAlignment="1" applyProtection="1">
      <alignment horizontal="right" vertical="center"/>
    </xf>
    <xf numFmtId="0" fontId="2" fillId="0" borderId="0" xfId="0" applyFont="1" applyFill="1" applyBorder="1" applyAlignment="1">
      <alignment vertical="center"/>
    </xf>
    <xf numFmtId="41" fontId="2" fillId="2" borderId="1" xfId="0" applyNumberFormat="1" applyFont="1" applyFill="1" applyBorder="1" applyAlignment="1">
      <alignment vertical="center"/>
    </xf>
    <xf numFmtId="179" fontId="2" fillId="0" borderId="1" xfId="0" applyNumberFormat="1" applyFont="1" applyFill="1" applyBorder="1" applyAlignment="1" applyProtection="1">
      <alignment vertical="center"/>
      <protection locked="0"/>
    </xf>
    <xf numFmtId="0" fontId="7" fillId="0" borderId="1" xfId="0" applyFont="1" applyFill="1" applyBorder="1" applyAlignment="1">
      <alignment horizontal="distributed" vertical="center" indent="2"/>
    </xf>
    <xf numFmtId="0" fontId="7" fillId="3" borderId="1" xfId="0" applyFont="1" applyFill="1" applyBorder="1" applyAlignment="1">
      <alignment horizontal="center" vertical="center"/>
    </xf>
    <xf numFmtId="41" fontId="2" fillId="0" borderId="0" xfId="0" applyNumberFormat="1" applyFont="1" applyFill="1" applyAlignment="1">
      <alignment vertical="center"/>
    </xf>
    <xf numFmtId="0" fontId="2" fillId="0" borderId="1" xfId="0" applyFont="1" applyFill="1" applyBorder="1" applyAlignment="1">
      <alignment horizontal="center" vertical="center" wrapText="1"/>
    </xf>
    <xf numFmtId="41" fontId="7" fillId="2" borderId="1" xfId="0" applyNumberFormat="1" applyFont="1" applyFill="1" applyBorder="1" applyAlignment="1">
      <alignment horizontal="center" vertical="center" wrapText="1"/>
    </xf>
    <xf numFmtId="41" fontId="7" fillId="2" borderId="1" xfId="0" applyNumberFormat="1" applyFont="1" applyFill="1" applyBorder="1" applyAlignment="1">
      <alignment horizontal="center" vertical="center"/>
    </xf>
    <xf numFmtId="179" fontId="2" fillId="0" borderId="1" xfId="0" applyNumberFormat="1" applyFont="1" applyFill="1" applyBorder="1" applyAlignment="1" applyProtection="1">
      <alignment horizontal="left" vertical="center"/>
      <protection locked="0"/>
    </xf>
    <xf numFmtId="41" fontId="7" fillId="0" borderId="1" xfId="0" applyNumberFormat="1" applyFont="1" applyFill="1" applyBorder="1" applyAlignment="1">
      <alignment horizontal="center" vertical="center"/>
    </xf>
    <xf numFmtId="180" fontId="2" fillId="0" borderId="1" xfId="0" applyNumberFormat="1" applyFont="1" applyFill="1" applyBorder="1" applyAlignment="1" applyProtection="1">
      <alignment horizontal="left" vertical="center"/>
      <protection locked="0"/>
    </xf>
    <xf numFmtId="41" fontId="2" fillId="0" borderId="1" xfId="0" applyNumberFormat="1" applyFont="1" applyFill="1" applyBorder="1" applyAlignment="1">
      <alignment vertical="center"/>
    </xf>
    <xf numFmtId="41" fontId="1" fillId="0" borderId="0" xfId="0" applyNumberFormat="1" applyFont="1" applyFill="1" applyAlignment="1">
      <alignment vertical="center"/>
    </xf>
    <xf numFmtId="41" fontId="7" fillId="0" borderId="0" xfId="0" applyNumberFormat="1" applyFont="1" applyFill="1" applyAlignment="1">
      <alignment vertical="center"/>
    </xf>
    <xf numFmtId="41" fontId="7" fillId="3" borderId="0" xfId="0" applyNumberFormat="1" applyFont="1" applyFill="1" applyAlignment="1">
      <alignment vertical="center"/>
    </xf>
    <xf numFmtId="0" fontId="2" fillId="0" borderId="0" xfId="0" applyFont="1" applyFill="1" applyAlignment="1">
      <alignment horizontal="center" vertical="center"/>
    </xf>
    <xf numFmtId="41" fontId="7" fillId="3" borderId="1" xfId="0" applyNumberFormat="1" applyFont="1" applyFill="1" applyBorder="1" applyAlignment="1">
      <alignment horizontal="center" vertical="center" wrapText="1"/>
    </xf>
    <xf numFmtId="41" fontId="2" fillId="3" borderId="0" xfId="0" applyNumberFormat="1" applyFont="1" applyFill="1" applyAlignment="1">
      <alignment vertical="center" wrapText="1"/>
    </xf>
    <xf numFmtId="0" fontId="9" fillId="3" borderId="1" xfId="0" applyFont="1" applyFill="1" applyBorder="1" applyAlignment="1">
      <alignment horizontal="center" vertical="center"/>
    </xf>
    <xf numFmtId="0" fontId="0" fillId="3" borderId="1" xfId="0" applyFont="1" applyFill="1" applyBorder="1" applyAlignment="1">
      <alignment vertical="center"/>
    </xf>
    <xf numFmtId="1" fontId="0" fillId="3" borderId="1" xfId="0" applyNumberFormat="1" applyFont="1" applyFill="1" applyBorder="1" applyAlignment="1">
      <alignment horizontal="center" vertical="center"/>
    </xf>
    <xf numFmtId="3" fontId="0" fillId="3" borderId="1" xfId="0" applyNumberFormat="1" applyFont="1" applyFill="1" applyBorder="1" applyAlignment="1">
      <alignment horizontal="center" vertical="center"/>
    </xf>
    <xf numFmtId="41" fontId="0"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center" vertical="center"/>
    </xf>
    <xf numFmtId="0" fontId="9" fillId="3" borderId="13" xfId="0" applyFont="1" applyFill="1" applyBorder="1" applyAlignment="1">
      <alignment vertical="center"/>
    </xf>
    <xf numFmtId="0" fontId="0" fillId="3" borderId="0" xfId="0" applyFont="1" applyFill="1" applyBorder="1" applyAlignment="1">
      <alignment vertical="center"/>
    </xf>
    <xf numFmtId="0" fontId="9" fillId="3" borderId="12" xfId="0" applyFont="1" applyFill="1" applyBorder="1" applyAlignment="1">
      <alignment vertical="center"/>
    </xf>
    <xf numFmtId="0" fontId="0" fillId="3" borderId="7" xfId="0" applyFont="1" applyFill="1" applyBorder="1" applyAlignment="1">
      <alignment vertical="center"/>
    </xf>
    <xf numFmtId="0" fontId="2" fillId="3" borderId="0" xfId="0" applyFont="1" applyFill="1" applyAlignment="1">
      <alignment vertical="center"/>
    </xf>
    <xf numFmtId="0" fontId="0" fillId="3" borderId="1" xfId="0" applyFont="1" applyFill="1" applyBorder="1" applyAlignment="1">
      <alignment horizontal="center" vertical="center"/>
    </xf>
    <xf numFmtId="0" fontId="0" fillId="3" borderId="14" xfId="0" applyFont="1" applyFill="1" applyBorder="1" applyAlignment="1">
      <alignment vertical="center"/>
    </xf>
    <xf numFmtId="0" fontId="0" fillId="3" borderId="5" xfId="0" applyFont="1" applyFill="1" applyBorder="1" applyAlignment="1">
      <alignment vertical="center"/>
    </xf>
    <xf numFmtId="0" fontId="1" fillId="0" borderId="0" xfId="0" applyFont="1" applyFill="1" applyAlignment="1" applyProtection="1">
      <alignment vertical="center"/>
      <protection locked="0"/>
    </xf>
    <xf numFmtId="0" fontId="2" fillId="0" borderId="0" xfId="0" applyFont="1" applyFill="1" applyAlignment="1" applyProtection="1">
      <alignment vertical="center" wrapText="1"/>
      <protection locked="0"/>
    </xf>
    <xf numFmtId="0" fontId="16"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protection locked="0"/>
    </xf>
    <xf numFmtId="41" fontId="7" fillId="2" borderId="1" xfId="0" applyNumberFormat="1" applyFont="1" applyFill="1" applyBorder="1" applyAlignment="1" applyProtection="1">
      <alignment horizontal="left" vertical="center"/>
      <protection locked="0"/>
    </xf>
    <xf numFmtId="41" fontId="2" fillId="2" borderId="1" xfId="0" applyNumberFormat="1" applyFont="1" applyFill="1" applyBorder="1" applyAlignment="1">
      <alignment vertical="center" wrapText="1"/>
    </xf>
    <xf numFmtId="41" fontId="7" fillId="0" borderId="1" xfId="0" applyNumberFormat="1" applyFont="1" applyFill="1" applyBorder="1" applyAlignment="1" applyProtection="1">
      <alignment horizontal="left" vertical="center"/>
      <protection locked="0"/>
    </xf>
    <xf numFmtId="1" fontId="7" fillId="0" borderId="1" xfId="0" applyNumberFormat="1" applyFont="1" applyFill="1" applyBorder="1" applyAlignment="1" applyProtection="1">
      <alignment vertical="center"/>
      <protection locked="0"/>
    </xf>
    <xf numFmtId="41" fontId="7" fillId="2" borderId="1" xfId="0" applyNumberFormat="1" applyFont="1" applyFill="1" applyBorder="1" applyAlignment="1" applyProtection="1">
      <alignment vertical="center"/>
      <protection locked="0"/>
    </xf>
    <xf numFmtId="41" fontId="7" fillId="0" borderId="1" xfId="0" applyNumberFormat="1" applyFont="1" applyFill="1" applyBorder="1" applyAlignment="1" applyProtection="1">
      <alignment vertical="center"/>
      <protection locked="0"/>
    </xf>
    <xf numFmtId="41" fontId="2" fillId="0" borderId="1" xfId="0" applyNumberFormat="1" applyFont="1" applyFill="1" applyBorder="1" applyAlignment="1" applyProtection="1">
      <alignment vertical="center"/>
      <protection locked="0"/>
    </xf>
    <xf numFmtId="1" fontId="2" fillId="0" borderId="1" xfId="0" applyNumberFormat="1" applyFont="1" applyFill="1" applyBorder="1" applyAlignment="1" applyProtection="1">
      <alignment horizontal="left" vertical="center"/>
      <protection locked="0"/>
    </xf>
    <xf numFmtId="41" fontId="2" fillId="2" borderId="1" xfId="0" applyNumberFormat="1" applyFont="1" applyFill="1" applyBorder="1" applyAlignment="1" applyProtection="1">
      <alignment horizontal="left" vertical="center"/>
      <protection locked="0"/>
    </xf>
    <xf numFmtId="41" fontId="2" fillId="0" borderId="1" xfId="0" applyNumberFormat="1" applyFont="1" applyFill="1" applyBorder="1" applyAlignment="1" applyProtection="1">
      <alignment horizontal="left" vertical="center"/>
      <protection locked="0"/>
    </xf>
    <xf numFmtId="41" fontId="2" fillId="2" borderId="1" xfId="0" applyNumberFormat="1" applyFont="1" applyFill="1" applyBorder="1" applyAlignment="1" applyProtection="1">
      <alignment vertical="center"/>
      <protection locked="0"/>
    </xf>
    <xf numFmtId="0" fontId="2" fillId="0" borderId="1" xfId="0" applyNumberFormat="1" applyFont="1" applyFill="1" applyBorder="1" applyAlignment="1" applyProtection="1">
      <alignment vertical="center"/>
      <protection locked="0"/>
    </xf>
    <xf numFmtId="3" fontId="2" fillId="0" borderId="1" xfId="0" applyNumberFormat="1" applyFont="1" applyFill="1" applyBorder="1" applyAlignment="1" applyProtection="1">
      <alignment vertical="center" wrapText="1"/>
      <protection locked="0"/>
    </xf>
    <xf numFmtId="41" fontId="2" fillId="0" borderId="1" xfId="0" applyNumberFormat="1" applyFont="1" applyFill="1" applyBorder="1" applyAlignment="1" applyProtection="1">
      <alignment vertical="center" wrapText="1"/>
      <protection locked="0"/>
    </xf>
    <xf numFmtId="41" fontId="2" fillId="0" borderId="1" xfId="0" applyNumberFormat="1" applyFont="1" applyFill="1" applyBorder="1" applyAlignment="1" applyProtection="1">
      <alignment horizontal="left" vertical="center" wrapText="1"/>
      <protection locked="0"/>
    </xf>
    <xf numFmtId="3" fontId="2" fillId="0" borderId="1" xfId="0" applyNumberFormat="1" applyFont="1" applyFill="1" applyBorder="1" applyAlignment="1" applyProtection="1">
      <alignment vertical="center"/>
      <protection locked="0"/>
    </xf>
    <xf numFmtId="0" fontId="2" fillId="0" borderId="1" xfId="0" applyFont="1" applyFill="1" applyBorder="1" applyAlignment="1" applyProtection="1">
      <alignment vertical="center" wrapText="1"/>
      <protection locked="0"/>
    </xf>
    <xf numFmtId="41" fontId="2" fillId="0" borderId="1" xfId="0" applyNumberFormat="1" applyFont="1" applyFill="1" applyBorder="1" applyAlignment="1" applyProtection="1">
      <alignment vertical="center"/>
    </xf>
    <xf numFmtId="41" fontId="16" fillId="0" borderId="1" xfId="0" applyNumberFormat="1"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41" fontId="2" fillId="0" borderId="2" xfId="0" applyNumberFormat="1" applyFont="1" applyFill="1" applyBorder="1" applyAlignment="1" applyProtection="1">
      <alignment vertical="center"/>
      <protection locked="0"/>
    </xf>
    <xf numFmtId="0" fontId="2" fillId="0" borderId="1" xfId="0" applyFont="1" applyFill="1" applyBorder="1" applyAlignment="1" applyProtection="1">
      <alignment vertical="center"/>
      <protection locked="0"/>
    </xf>
    <xf numFmtId="41" fontId="2" fillId="0" borderId="9" xfId="0" applyNumberFormat="1" applyFont="1" applyFill="1" applyBorder="1" applyAlignment="1" applyProtection="1">
      <alignment vertical="center"/>
      <protection locked="0"/>
    </xf>
    <xf numFmtId="41" fontId="2" fillId="0" borderId="4" xfId="0" applyNumberFormat="1" applyFont="1" applyFill="1" applyBorder="1" applyAlignment="1" applyProtection="1">
      <alignment vertical="center"/>
      <protection locked="0"/>
    </xf>
    <xf numFmtId="41" fontId="7" fillId="0" borderId="1" xfId="0" applyNumberFormat="1" applyFont="1" applyFill="1" applyBorder="1" applyAlignment="1" applyProtection="1">
      <alignment horizontal="distributed" vertical="center"/>
      <protection locked="0"/>
    </xf>
    <xf numFmtId="0" fontId="7" fillId="0" borderId="1" xfId="0" applyFont="1" applyFill="1" applyBorder="1" applyAlignment="1" applyProtection="1">
      <alignment horizontal="distributed" vertical="center" indent="2"/>
      <protection locked="0"/>
    </xf>
    <xf numFmtId="41" fontId="7" fillId="2" borderId="1" xfId="0" applyNumberFormat="1" applyFont="1" applyFill="1" applyBorder="1" applyAlignment="1" applyProtection="1">
      <alignment horizontal="distributed" vertical="center"/>
      <protection locked="0"/>
    </xf>
    <xf numFmtId="41" fontId="7" fillId="0" borderId="1" xfId="0" applyNumberFormat="1" applyFont="1" applyFill="1" applyBorder="1" applyAlignment="1" applyProtection="1">
      <alignment horizontal="distributed" vertical="center" indent="2"/>
      <protection locked="0"/>
    </xf>
    <xf numFmtId="0" fontId="7" fillId="3" borderId="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0" borderId="0"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41" fontId="2" fillId="0" borderId="11" xfId="0" applyNumberFormat="1" applyFont="1" applyFill="1" applyBorder="1" applyAlignment="1" applyProtection="1">
      <alignment vertical="center"/>
      <protection locked="0"/>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3" borderId="0" xfId="0" applyFont="1" applyFill="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1" xfId="0" applyFont="1" applyFill="1" applyBorder="1" applyAlignment="1">
      <alignment vertical="center"/>
    </xf>
    <xf numFmtId="41" fontId="12" fillId="2" borderId="1" xfId="0" applyNumberFormat="1" applyFont="1" applyFill="1" applyBorder="1" applyAlignment="1">
      <alignment vertical="center"/>
    </xf>
    <xf numFmtId="179" fontId="2" fillId="0" borderId="11" xfId="0" applyNumberFormat="1" applyFont="1" applyFill="1" applyBorder="1" applyAlignment="1" applyProtection="1">
      <alignment horizontal="left" vertical="center"/>
      <protection locked="0"/>
    </xf>
    <xf numFmtId="41" fontId="12" fillId="0" borderId="1" xfId="0" applyNumberFormat="1" applyFont="1" applyFill="1" applyBorder="1" applyAlignment="1">
      <alignment vertical="center"/>
    </xf>
    <xf numFmtId="180" fontId="2" fillId="0" borderId="11" xfId="0" applyNumberFormat="1" applyFont="1" applyFill="1" applyBorder="1" applyAlignment="1" applyProtection="1">
      <alignment horizontal="left" vertical="center"/>
      <protection locked="0"/>
    </xf>
    <xf numFmtId="179" fontId="2" fillId="0" borderId="5" xfId="0" applyNumberFormat="1" applyFont="1" applyFill="1" applyBorder="1" applyAlignment="1" applyProtection="1">
      <alignment horizontal="left" vertical="center"/>
      <protection locked="0"/>
    </xf>
    <xf numFmtId="0" fontId="2" fillId="5" borderId="0" xfId="0" applyFont="1" applyFill="1" applyAlignment="1">
      <alignment vertical="center"/>
    </xf>
    <xf numFmtId="180" fontId="2" fillId="0" borderId="5" xfId="0" applyNumberFormat="1" applyFont="1" applyFill="1" applyBorder="1" applyAlignment="1" applyProtection="1">
      <alignment horizontal="left" vertical="center"/>
      <protection locked="0"/>
    </xf>
    <xf numFmtId="0" fontId="2" fillId="0" borderId="5" xfId="0" applyFont="1" applyFill="1" applyBorder="1" applyAlignment="1">
      <alignment vertical="center"/>
    </xf>
    <xf numFmtId="176" fontId="12" fillId="0" borderId="1" xfId="0" applyNumberFormat="1" applyFont="1" applyFill="1" applyBorder="1" applyAlignment="1">
      <alignment vertical="center"/>
    </xf>
    <xf numFmtId="0" fontId="2" fillId="0" borderId="11" xfId="0" applyFont="1" applyFill="1" applyBorder="1" applyAlignment="1">
      <alignment horizontal="left" vertical="center"/>
    </xf>
    <xf numFmtId="0" fontId="2" fillId="0" borderId="10" xfId="0" applyFont="1" applyFill="1" applyBorder="1" applyAlignment="1">
      <alignment vertical="center"/>
    </xf>
    <xf numFmtId="0" fontId="7" fillId="0" borderId="11" xfId="0" applyFont="1" applyFill="1" applyBorder="1" applyAlignment="1">
      <alignment horizontal="distributed" vertical="center"/>
    </xf>
    <xf numFmtId="0" fontId="14" fillId="0" borderId="0" xfId="0" applyFont="1" applyFill="1" applyAlignment="1">
      <alignment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4" fillId="0" borderId="1" xfId="0" applyFont="1" applyFill="1" applyBorder="1" applyAlignment="1">
      <alignment vertical="center"/>
    </xf>
    <xf numFmtId="0" fontId="7" fillId="0" borderId="9" xfId="0" applyFont="1" applyFill="1" applyBorder="1" applyAlignment="1">
      <alignment horizontal="distributed" vertical="center" indent="2"/>
    </xf>
    <xf numFmtId="0" fontId="7" fillId="0" borderId="11" xfId="0" applyFont="1" applyFill="1" applyBorder="1" applyAlignment="1">
      <alignment horizontal="distributed" vertical="center" indent="2"/>
    </xf>
    <xf numFmtId="0" fontId="17" fillId="0" borderId="0" xfId="0" applyFont="1" applyFill="1" applyAlignment="1" applyProtection="1">
      <alignment vertical="center"/>
      <protection locked="0"/>
    </xf>
    <xf numFmtId="0" fontId="18"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19" fillId="0" borderId="0" xfId="0" applyFont="1" applyFill="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0" fillId="5" borderId="0" xfId="0" applyFill="1" applyAlignment="1" applyProtection="1">
      <alignment vertical="center"/>
      <protection locked="0"/>
    </xf>
    <xf numFmtId="0" fontId="20" fillId="0" borderId="0" xfId="0" applyFont="1" applyFill="1" applyAlignment="1" applyProtection="1">
      <alignment vertical="center"/>
      <protection locked="0"/>
    </xf>
    <xf numFmtId="0" fontId="21" fillId="0" borderId="0" xfId="0" applyFont="1" applyFill="1" applyAlignment="1" applyProtection="1">
      <alignment vertical="center"/>
      <protection locked="0"/>
    </xf>
    <xf numFmtId="0" fontId="22" fillId="0" borderId="0" xfId="0" applyFont="1" applyFill="1" applyAlignment="1" applyProtection="1">
      <alignment horizontal="center" vertical="center"/>
      <protection locked="0"/>
    </xf>
    <xf numFmtId="0" fontId="23" fillId="0" borderId="0" xfId="0" applyFont="1" applyFill="1" applyAlignment="1" applyProtection="1">
      <alignment horizontal="center" vertical="center"/>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3 2" xfId="50"/>
    <cellStyle name="常规 2 2" xfId="51"/>
    <cellStyle name="常规 10" xfId="52"/>
    <cellStyle name="常规 2" xfId="53"/>
    <cellStyle name="常规 3" xfId="54"/>
    <cellStyle name="常规 4" xfId="55"/>
    <cellStyle name="常规_2013年政府性基金预算草案0109陈改" xfId="56"/>
    <cellStyle name="常规 5" xfId="57"/>
    <cellStyle name="常规 2 10 3" xfId="58"/>
    <cellStyle name="常规_广西壮族自治区全区与自治区本级2012年预算执行情况和2013年预算（草案）（最终）" xfId="59"/>
  </cellStyles>
  <dxfs count="4">
    <dxf>
      <fill>
        <patternFill patternType="solid">
          <bgColor rgb="FFFF0000"/>
        </patternFill>
      </fill>
    </dxf>
    <dxf>
      <font>
        <color rgb="FF9C0006"/>
      </font>
      <fill>
        <patternFill patternType="solid">
          <bgColor rgb="FFFFC7CE"/>
        </patternFill>
      </fill>
    </dxf>
    <dxf>
      <font>
        <color rgb="FFFF0000"/>
      </font>
    </dxf>
    <dxf>
      <font>
        <color auto="1"/>
      </font>
      <fill>
        <patternFill patternType="solid">
          <bgColor rgb="FFFF0000"/>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105;&#30340;&#25991;&#26723;\Documents\WeChat%20Files\wxid_n9gwq6zzxs6221\FileStorage\File\2022-03\(&#25913;&#34920;&#20108;&#34920;&#22235;3.20)&#38468;&#20214;2&#65306;2022&#24180;&#22320;&#26041;&#36130;&#25919;&#39044;&#31639;&#34920;&#65288;&#40857;&#32988;&#21439;&#65289;03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sheetName val="表八"/>
      <sheetName val="表九"/>
      <sheetName val="表十"/>
      <sheetName val="表十一"/>
      <sheetName val="表十二"/>
      <sheetName val="表十三"/>
      <sheetName val="表十四"/>
    </sheetNames>
    <sheetDataSet>
      <sheetData sheetId="0"/>
      <sheetData sheetId="1"/>
      <sheetData sheetId="2"/>
      <sheetData sheetId="3">
        <row r="6">
          <cell r="E6">
            <v>25117</v>
          </cell>
        </row>
        <row r="7">
          <cell r="E7">
            <v>799</v>
          </cell>
        </row>
        <row r="19">
          <cell r="E19">
            <v>399</v>
          </cell>
        </row>
        <row r="28">
          <cell r="E28">
            <v>12735</v>
          </cell>
        </row>
        <row r="39">
          <cell r="E39">
            <v>636</v>
          </cell>
        </row>
        <row r="50">
          <cell r="E50">
            <v>410</v>
          </cell>
        </row>
        <row r="61">
          <cell r="E61">
            <v>1330</v>
          </cell>
        </row>
        <row r="72">
          <cell r="E72">
            <v>828</v>
          </cell>
        </row>
        <row r="80">
          <cell r="E80">
            <v>232</v>
          </cell>
        </row>
        <row r="89">
          <cell r="E89">
            <v>0</v>
          </cell>
        </row>
        <row r="102">
          <cell r="E102">
            <v>1039</v>
          </cell>
        </row>
        <row r="111">
          <cell r="E111">
            <v>122</v>
          </cell>
        </row>
        <row r="122">
          <cell r="E122">
            <v>0</v>
          </cell>
        </row>
        <row r="134">
          <cell r="E134">
            <v>196</v>
          </cell>
        </row>
        <row r="141">
          <cell r="E141">
            <v>0</v>
          </cell>
        </row>
        <row r="149">
          <cell r="E149">
            <v>134</v>
          </cell>
        </row>
        <row r="155">
          <cell r="E155">
            <v>0</v>
          </cell>
        </row>
        <row r="162">
          <cell r="E162">
            <v>1103</v>
          </cell>
        </row>
        <row r="169">
          <cell r="E169">
            <v>1171</v>
          </cell>
        </row>
        <row r="176">
          <cell r="E176">
            <v>497</v>
          </cell>
        </row>
        <row r="183">
          <cell r="E183">
            <v>266</v>
          </cell>
        </row>
        <row r="190">
          <cell r="E190">
            <v>233</v>
          </cell>
        </row>
        <row r="198">
          <cell r="E198">
            <v>0</v>
          </cell>
        </row>
        <row r="204">
          <cell r="E204">
            <v>214</v>
          </cell>
        </row>
        <row r="210">
          <cell r="E210">
            <v>0</v>
          </cell>
        </row>
        <row r="217">
          <cell r="E217">
            <v>1180</v>
          </cell>
        </row>
        <row r="232">
          <cell r="E232">
            <v>1593</v>
          </cell>
        </row>
        <row r="235">
          <cell r="E235">
            <v>0</v>
          </cell>
        </row>
        <row r="239">
          <cell r="E239">
            <v>223</v>
          </cell>
        </row>
        <row r="240">
          <cell r="E240">
            <v>79</v>
          </cell>
        </row>
        <row r="248">
          <cell r="E248">
            <v>144</v>
          </cell>
        </row>
        <row r="249">
          <cell r="E249">
            <v>9605</v>
          </cell>
        </row>
        <row r="250">
          <cell r="E250">
            <v>33</v>
          </cell>
        </row>
        <row r="253">
          <cell r="E253">
            <v>6050</v>
          </cell>
        </row>
        <row r="264">
          <cell r="E264">
            <v>0</v>
          </cell>
        </row>
        <row r="271">
          <cell r="E271">
            <v>838</v>
          </cell>
        </row>
        <row r="279">
          <cell r="E279">
            <v>1997</v>
          </cell>
        </row>
        <row r="288">
          <cell r="E288">
            <v>679</v>
          </cell>
        </row>
        <row r="302">
          <cell r="E302">
            <v>0</v>
          </cell>
        </row>
        <row r="312">
          <cell r="E312">
            <v>0</v>
          </cell>
        </row>
        <row r="322">
          <cell r="E322">
            <v>0</v>
          </cell>
        </row>
        <row r="330">
          <cell r="E330">
            <v>0</v>
          </cell>
        </row>
        <row r="336">
          <cell r="E336">
            <v>8</v>
          </cell>
        </row>
        <row r="339">
          <cell r="E339">
            <v>34191</v>
          </cell>
        </row>
        <row r="340">
          <cell r="E340">
            <v>854</v>
          </cell>
        </row>
        <row r="345">
          <cell r="E345">
            <v>32721</v>
          </cell>
        </row>
        <row r="352">
          <cell r="E352">
            <v>146</v>
          </cell>
        </row>
        <row r="358">
          <cell r="E358">
            <v>7</v>
          </cell>
        </row>
        <row r="364">
          <cell r="E364">
            <v>0</v>
          </cell>
        </row>
        <row r="368">
          <cell r="E368">
            <v>0</v>
          </cell>
        </row>
        <row r="372">
          <cell r="E372">
            <v>20</v>
          </cell>
        </row>
        <row r="376">
          <cell r="E376">
            <v>177</v>
          </cell>
        </row>
        <row r="382">
          <cell r="E382">
            <v>265</v>
          </cell>
        </row>
        <row r="389">
          <cell r="E389">
            <v>1</v>
          </cell>
        </row>
        <row r="390">
          <cell r="E390">
            <v>196</v>
          </cell>
        </row>
        <row r="391">
          <cell r="E391">
            <v>182</v>
          </cell>
        </row>
        <row r="396">
          <cell r="E396">
            <v>0</v>
          </cell>
        </row>
        <row r="405">
          <cell r="E405">
            <v>8</v>
          </cell>
        </row>
        <row r="411">
          <cell r="E411">
            <v>2</v>
          </cell>
        </row>
        <row r="416">
          <cell r="E416">
            <v>0</v>
          </cell>
        </row>
        <row r="421">
          <cell r="E421">
            <v>0</v>
          </cell>
        </row>
        <row r="426">
          <cell r="E426">
            <v>1</v>
          </cell>
        </row>
        <row r="433">
          <cell r="E433">
            <v>0</v>
          </cell>
        </row>
        <row r="437">
          <cell r="E437">
            <v>0</v>
          </cell>
        </row>
        <row r="441">
          <cell r="E441">
            <v>3</v>
          </cell>
        </row>
        <row r="446">
          <cell r="E446">
            <v>3895</v>
          </cell>
        </row>
        <row r="447">
          <cell r="E447">
            <v>2646</v>
          </cell>
        </row>
        <row r="463">
          <cell r="E463">
            <v>334</v>
          </cell>
        </row>
        <row r="471">
          <cell r="E471">
            <v>145</v>
          </cell>
        </row>
        <row r="482">
          <cell r="E482">
            <v>0</v>
          </cell>
        </row>
        <row r="491">
          <cell r="E491">
            <v>685</v>
          </cell>
        </row>
        <row r="499">
          <cell r="E499">
            <v>85</v>
          </cell>
        </row>
        <row r="503">
          <cell r="E503">
            <v>29058</v>
          </cell>
        </row>
        <row r="504">
          <cell r="E504">
            <v>715</v>
          </cell>
        </row>
        <row r="523">
          <cell r="E523">
            <v>441</v>
          </cell>
        </row>
        <row r="531">
          <cell r="E531">
            <v>0</v>
          </cell>
        </row>
        <row r="533">
          <cell r="E533">
            <v>15765</v>
          </cell>
        </row>
        <row r="542">
          <cell r="E542">
            <v>0</v>
          </cell>
        </row>
        <row r="546">
          <cell r="E546">
            <v>818</v>
          </cell>
        </row>
        <row r="556">
          <cell r="E556">
            <v>831</v>
          </cell>
        </row>
        <row r="565">
          <cell r="E565">
            <v>98</v>
          </cell>
        </row>
        <row r="572">
          <cell r="E572">
            <v>83</v>
          </cell>
        </row>
        <row r="580">
          <cell r="E580">
            <v>1018</v>
          </cell>
        </row>
        <row r="589">
          <cell r="E589">
            <v>0</v>
          </cell>
        </row>
        <row r="594">
          <cell r="E594">
            <v>3328</v>
          </cell>
        </row>
        <row r="597">
          <cell r="E597">
            <v>176</v>
          </cell>
        </row>
        <row r="600">
          <cell r="E600">
            <v>546</v>
          </cell>
        </row>
        <row r="603">
          <cell r="E603">
            <v>0</v>
          </cell>
        </row>
        <row r="606">
          <cell r="E606">
            <v>2</v>
          </cell>
        </row>
        <row r="609">
          <cell r="E609">
            <v>4676</v>
          </cell>
        </row>
        <row r="613">
          <cell r="E613">
            <v>0</v>
          </cell>
        </row>
        <row r="617">
          <cell r="E617">
            <v>230</v>
          </cell>
        </row>
        <row r="625">
          <cell r="E625">
            <v>181</v>
          </cell>
        </row>
        <row r="628">
          <cell r="E628">
            <v>150</v>
          </cell>
        </row>
        <row r="629">
          <cell r="E629">
            <v>14482</v>
          </cell>
        </row>
        <row r="630">
          <cell r="E630">
            <v>668</v>
          </cell>
        </row>
        <row r="635">
          <cell r="E635">
            <v>2855</v>
          </cell>
        </row>
        <row r="650">
          <cell r="E650">
            <v>2385</v>
          </cell>
        </row>
        <row r="654">
          <cell r="E654">
            <v>2794</v>
          </cell>
        </row>
        <row r="666">
          <cell r="E666">
            <v>161</v>
          </cell>
        </row>
        <row r="669">
          <cell r="E669">
            <v>1488</v>
          </cell>
        </row>
        <row r="673">
          <cell r="E673">
            <v>1998</v>
          </cell>
        </row>
        <row r="678">
          <cell r="E678">
            <v>525</v>
          </cell>
        </row>
        <row r="682">
          <cell r="E682">
            <v>553</v>
          </cell>
        </row>
        <row r="686">
          <cell r="E686">
            <v>30</v>
          </cell>
        </row>
        <row r="689">
          <cell r="E689">
            <v>340</v>
          </cell>
        </row>
        <row r="698">
          <cell r="E698">
            <v>323</v>
          </cell>
        </row>
        <row r="699">
          <cell r="E699">
            <v>362</v>
          </cell>
        </row>
        <row r="700">
          <cell r="E700">
            <v>5449</v>
          </cell>
        </row>
        <row r="701">
          <cell r="E701">
            <v>37</v>
          </cell>
        </row>
        <row r="711">
          <cell r="E711">
            <v>81</v>
          </cell>
        </row>
        <row r="715">
          <cell r="E715">
            <v>41</v>
          </cell>
        </row>
        <row r="724">
          <cell r="E724">
            <v>5268</v>
          </cell>
        </row>
        <row r="731">
          <cell r="E731">
            <v>3</v>
          </cell>
        </row>
        <row r="738">
          <cell r="E738">
            <v>1</v>
          </cell>
        </row>
        <row r="744">
          <cell r="E744">
            <v>0</v>
          </cell>
        </row>
        <row r="747">
          <cell r="E747">
            <v>0</v>
          </cell>
        </row>
        <row r="752">
          <cell r="E752">
            <v>0</v>
          </cell>
        </row>
        <row r="760">
          <cell r="E760">
            <v>0</v>
          </cell>
        </row>
        <row r="771">
          <cell r="E771">
            <v>18</v>
          </cell>
        </row>
        <row r="772">
          <cell r="E772">
            <v>4497</v>
          </cell>
        </row>
        <row r="773">
          <cell r="E773">
            <v>1214</v>
          </cell>
        </row>
        <row r="785">
          <cell r="E785">
            <v>2600</v>
          </cell>
        </row>
        <row r="788">
          <cell r="E788">
            <v>559</v>
          </cell>
        </row>
        <row r="790">
          <cell r="E790">
            <v>124</v>
          </cell>
        </row>
        <row r="791">
          <cell r="E791">
            <v>42819</v>
          </cell>
        </row>
        <row r="792">
          <cell r="E792">
            <v>8980</v>
          </cell>
        </row>
        <row r="818">
          <cell r="E818">
            <v>5959</v>
          </cell>
        </row>
        <row r="840">
          <cell r="E840">
            <v>8027</v>
          </cell>
        </row>
        <row r="868">
          <cell r="E868">
            <v>14863</v>
          </cell>
        </row>
        <row r="879">
          <cell r="E879">
            <v>2713</v>
          </cell>
        </row>
        <row r="886">
          <cell r="E886">
            <v>2095</v>
          </cell>
        </row>
        <row r="892">
          <cell r="E892">
            <v>2</v>
          </cell>
        </row>
        <row r="895">
          <cell r="E895">
            <v>180</v>
          </cell>
        </row>
        <row r="898">
          <cell r="E898">
            <v>1767</v>
          </cell>
        </row>
        <row r="899">
          <cell r="E899">
            <v>1767</v>
          </cell>
        </row>
        <row r="921">
          <cell r="E921">
            <v>0</v>
          </cell>
        </row>
        <row r="931">
          <cell r="E931">
            <v>0</v>
          </cell>
        </row>
        <row r="941">
          <cell r="E941">
            <v>0</v>
          </cell>
        </row>
        <row r="948">
          <cell r="E948">
            <v>0</v>
          </cell>
        </row>
        <row r="953">
          <cell r="E953">
            <v>0</v>
          </cell>
        </row>
        <row r="956">
          <cell r="E956">
            <v>294</v>
          </cell>
        </row>
        <row r="957">
          <cell r="E957">
            <v>0</v>
          </cell>
        </row>
        <row r="967">
          <cell r="E967">
            <v>0</v>
          </cell>
        </row>
        <row r="983">
          <cell r="E983">
            <v>0</v>
          </cell>
        </row>
        <row r="988">
          <cell r="E988">
            <v>0</v>
          </cell>
        </row>
        <row r="999">
          <cell r="E999">
            <v>0</v>
          </cell>
        </row>
        <row r="1006">
          <cell r="E1006">
            <v>0</v>
          </cell>
        </row>
        <row r="1014">
          <cell r="E1014">
            <v>294</v>
          </cell>
        </row>
        <row r="1020">
          <cell r="E1020">
            <v>210</v>
          </cell>
        </row>
        <row r="1021">
          <cell r="E1021">
            <v>210</v>
          </cell>
        </row>
        <row r="1031">
          <cell r="E1031">
            <v>0</v>
          </cell>
        </row>
        <row r="1037">
          <cell r="E1037">
            <v>0</v>
          </cell>
        </row>
        <row r="1040">
          <cell r="E1040">
            <v>67</v>
          </cell>
        </row>
        <row r="1041">
          <cell r="E1041">
            <v>0</v>
          </cell>
        </row>
        <row r="1048">
          <cell r="E1048">
            <v>0</v>
          </cell>
        </row>
        <row r="1058">
          <cell r="E1058">
            <v>67</v>
          </cell>
        </row>
        <row r="1064">
          <cell r="E1064">
            <v>0</v>
          </cell>
        </row>
        <row r="1067">
          <cell r="E1067">
            <v>0</v>
          </cell>
        </row>
        <row r="1070">
          <cell r="E1070">
            <v>0</v>
          </cell>
        </row>
        <row r="1080">
          <cell r="E1080">
            <v>1812</v>
          </cell>
        </row>
        <row r="1081">
          <cell r="E1081">
            <v>1729</v>
          </cell>
        </row>
        <row r="1108">
          <cell r="E1108">
            <v>83</v>
          </cell>
        </row>
        <row r="1124">
          <cell r="E1124">
            <v>5026</v>
          </cell>
        </row>
        <row r="1125">
          <cell r="E1125">
            <v>108</v>
          </cell>
        </row>
        <row r="1136">
          <cell r="E1136">
            <v>4918</v>
          </cell>
        </row>
        <row r="1140">
          <cell r="E1140">
            <v>0</v>
          </cell>
        </row>
        <row r="1144">
          <cell r="E1144">
            <v>610</v>
          </cell>
        </row>
        <row r="1145">
          <cell r="E1145">
            <v>610</v>
          </cell>
        </row>
        <row r="1163">
          <cell r="E1163">
            <v>0</v>
          </cell>
        </row>
        <row r="1169">
          <cell r="E1169">
            <v>0</v>
          </cell>
        </row>
        <row r="1175">
          <cell r="E1175">
            <v>0</v>
          </cell>
        </row>
        <row r="1188">
          <cell r="E1188">
            <v>3218</v>
          </cell>
        </row>
        <row r="1189">
          <cell r="E1189">
            <v>375</v>
          </cell>
        </row>
        <row r="1200">
          <cell r="E1200">
            <v>320</v>
          </cell>
        </row>
        <row r="1206">
          <cell r="E1206">
            <v>0</v>
          </cell>
        </row>
        <row r="1214">
          <cell r="E1214">
            <v>1</v>
          </cell>
        </row>
        <row r="1227">
          <cell r="E1227">
            <v>960</v>
          </cell>
        </row>
        <row r="1231">
          <cell r="E1231">
            <v>157</v>
          </cell>
        </row>
        <row r="1235">
          <cell r="E1235">
            <v>1405</v>
          </cell>
        </row>
        <row r="1236">
          <cell r="E1236">
            <v>1500</v>
          </cell>
        </row>
        <row r="1237">
          <cell r="E1237">
            <v>1028</v>
          </cell>
        </row>
        <row r="1238">
          <cell r="E1238">
            <v>1014</v>
          </cell>
        </row>
        <row r="1239">
          <cell r="E1239">
            <v>14</v>
          </cell>
        </row>
        <row r="1240">
          <cell r="E1240">
            <v>3760</v>
          </cell>
        </row>
        <row r="1241">
          <cell r="E1241">
            <v>3760</v>
          </cell>
        </row>
        <row r="1246">
          <cell r="E1246">
            <v>33</v>
          </cell>
        </row>
        <row r="1250">
          <cell r="E1250">
            <v>188857</v>
          </cell>
        </row>
      </sheetData>
      <sheetData sheetId="4">
        <row r="7">
          <cell r="D7">
            <v>26383</v>
          </cell>
        </row>
        <row r="10">
          <cell r="D10">
            <v>3444</v>
          </cell>
        </row>
        <row r="17">
          <cell r="D17">
            <v>119428</v>
          </cell>
        </row>
        <row r="53">
          <cell r="D53">
            <v>7240</v>
          </cell>
        </row>
        <row r="82">
          <cell r="D82">
            <v>25061</v>
          </cell>
        </row>
        <row r="83">
          <cell r="D83">
            <v>5000</v>
          </cell>
        </row>
        <row r="89">
          <cell r="D89">
            <v>11500</v>
          </cell>
        </row>
        <row r="91">
          <cell r="D91">
            <v>3638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showGridLines="0" showZeros="0" zoomScale="90" zoomScaleNormal="90" workbookViewId="0">
      <selection activeCell="A3" sqref="A3"/>
    </sheetView>
  </sheetViews>
  <sheetFormatPr defaultColWidth="9" defaultRowHeight="14.25" outlineLevelRow="5" outlineLevelCol="1"/>
  <cols>
    <col min="1" max="1" width="139.4" style="265" customWidth="1"/>
    <col min="2" max="2" width="9" style="265" hidden="1" customWidth="1"/>
    <col min="3" max="16384" width="9" style="265"/>
  </cols>
  <sheetData>
    <row r="1" ht="36.75" customHeight="1" spans="1:2">
      <c r="A1" s="266" t="s">
        <v>0</v>
      </c>
      <c r="B1" s="262" t="s">
        <v>1</v>
      </c>
    </row>
    <row r="2" ht="52.5" customHeight="1" spans="1:2">
      <c r="A2" s="267"/>
      <c r="B2" s="262" t="s">
        <v>2</v>
      </c>
    </row>
    <row r="3" ht="178.5" customHeight="1" spans="1:2">
      <c r="A3" s="268" t="s">
        <v>3</v>
      </c>
      <c r="B3" s="262" t="s">
        <v>4</v>
      </c>
    </row>
    <row r="4" ht="51.75" customHeight="1" spans="1:2">
      <c r="A4" s="268" t="s">
        <v>5</v>
      </c>
      <c r="B4" s="262" t="s">
        <v>6</v>
      </c>
    </row>
    <row r="5" ht="33" customHeight="1" spans="1:2">
      <c r="A5" s="269"/>
      <c r="B5" s="262" t="s">
        <v>7</v>
      </c>
    </row>
    <row r="6" ht="42" customHeight="1" spans="1:2">
      <c r="A6" s="269"/>
      <c r="B6" s="262" t="s">
        <v>8</v>
      </c>
    </row>
  </sheetData>
  <printOptions horizontalCentered="1"/>
  <pageMargins left="0.393700787401575" right="0.393700787401575" top="0.590551181102362" bottom="0.62992125984252" header="0.393700787401575" footer="0.393700787401575"/>
  <pageSetup paperSize="9" scale="95" firstPageNumber="8" orientation="landscape" useFirstPageNumber="1"/>
  <headerFooter alignWithMargins="0">
    <oddFooter>&amp;L&amp;16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showGridLines="0" showZeros="0" zoomScale="90" zoomScaleNormal="90" workbookViewId="0">
      <selection activeCell="E6" sqref="E6"/>
    </sheetView>
  </sheetViews>
  <sheetFormatPr defaultColWidth="9.1" defaultRowHeight="14.25" outlineLevelCol="6"/>
  <cols>
    <col min="1" max="1" width="18.4" style="95" customWidth="1"/>
    <col min="2" max="2" width="22.5" style="94" customWidth="1"/>
    <col min="3" max="5" width="18" style="94" customWidth="1"/>
    <col min="6" max="7" width="18" style="96" customWidth="1"/>
    <col min="8" max="248" width="9.1" style="97"/>
    <col min="249" max="249" width="30.1" style="97" customWidth="1"/>
    <col min="250" max="252" width="16.6" style="97" customWidth="1"/>
    <col min="253" max="253" width="30.1" style="97" customWidth="1"/>
    <col min="254" max="256" width="18" style="97" customWidth="1"/>
    <col min="257" max="261" width="9.1" style="97" hidden="1" customWidth="1"/>
    <col min="262" max="504" width="9.1" style="97"/>
    <col min="505" max="505" width="30.1" style="97" customWidth="1"/>
    <col min="506" max="508" width="16.6" style="97" customWidth="1"/>
    <col min="509" max="509" width="30.1" style="97" customWidth="1"/>
    <col min="510" max="512" width="18" style="97" customWidth="1"/>
    <col min="513" max="517" width="9.1" style="97" hidden="1" customWidth="1"/>
    <col min="518" max="760" width="9.1" style="97"/>
    <col min="761" max="761" width="30.1" style="97" customWidth="1"/>
    <col min="762" max="764" width="16.6" style="97" customWidth="1"/>
    <col min="765" max="765" width="30.1" style="97" customWidth="1"/>
    <col min="766" max="768" width="18" style="97" customWidth="1"/>
    <col min="769" max="773" width="9.1" style="97" hidden="1" customWidth="1"/>
    <col min="774" max="1016" width="9.1" style="97"/>
    <col min="1017" max="1017" width="30.1" style="97" customWidth="1"/>
    <col min="1018" max="1020" width="16.6" style="97" customWidth="1"/>
    <col min="1021" max="1021" width="30.1" style="97" customWidth="1"/>
    <col min="1022" max="1024" width="18" style="97" customWidth="1"/>
    <col min="1025" max="1029" width="9.1" style="97" hidden="1" customWidth="1"/>
    <col min="1030" max="1272" width="9.1" style="97"/>
    <col min="1273" max="1273" width="30.1" style="97" customWidth="1"/>
    <col min="1274" max="1276" width="16.6" style="97" customWidth="1"/>
    <col min="1277" max="1277" width="30.1" style="97" customWidth="1"/>
    <col min="1278" max="1280" width="18" style="97" customWidth="1"/>
    <col min="1281" max="1285" width="9.1" style="97" hidden="1" customWidth="1"/>
    <col min="1286" max="1528" width="9.1" style="97"/>
    <col min="1529" max="1529" width="30.1" style="97" customWidth="1"/>
    <col min="1530" max="1532" width="16.6" style="97" customWidth="1"/>
    <col min="1533" max="1533" width="30.1" style="97" customWidth="1"/>
    <col min="1534" max="1536" width="18" style="97" customWidth="1"/>
    <col min="1537" max="1541" width="9.1" style="97" hidden="1" customWidth="1"/>
    <col min="1542" max="1784" width="9.1" style="97"/>
    <col min="1785" max="1785" width="30.1" style="97" customWidth="1"/>
    <col min="1786" max="1788" width="16.6" style="97" customWidth="1"/>
    <col min="1789" max="1789" width="30.1" style="97" customWidth="1"/>
    <col min="1790" max="1792" width="18" style="97" customWidth="1"/>
    <col min="1793" max="1797" width="9.1" style="97" hidden="1" customWidth="1"/>
    <col min="1798" max="2040" width="9.1" style="97"/>
    <col min="2041" max="2041" width="30.1" style="97" customWidth="1"/>
    <col min="2042" max="2044" width="16.6" style="97" customWidth="1"/>
    <col min="2045" max="2045" width="30.1" style="97" customWidth="1"/>
    <col min="2046" max="2048" width="18" style="97" customWidth="1"/>
    <col min="2049" max="2053" width="9.1" style="97" hidden="1" customWidth="1"/>
    <col min="2054" max="2296" width="9.1" style="97"/>
    <col min="2297" max="2297" width="30.1" style="97" customWidth="1"/>
    <col min="2298" max="2300" width="16.6" style="97" customWidth="1"/>
    <col min="2301" max="2301" width="30.1" style="97" customWidth="1"/>
    <col min="2302" max="2304" width="18" style="97" customWidth="1"/>
    <col min="2305" max="2309" width="9.1" style="97" hidden="1" customWidth="1"/>
    <col min="2310" max="2552" width="9.1" style="97"/>
    <col min="2553" max="2553" width="30.1" style="97" customWidth="1"/>
    <col min="2554" max="2556" width="16.6" style="97" customWidth="1"/>
    <col min="2557" max="2557" width="30.1" style="97" customWidth="1"/>
    <col min="2558" max="2560" width="18" style="97" customWidth="1"/>
    <col min="2561" max="2565" width="9.1" style="97" hidden="1" customWidth="1"/>
    <col min="2566" max="2808" width="9.1" style="97"/>
    <col min="2809" max="2809" width="30.1" style="97" customWidth="1"/>
    <col min="2810" max="2812" width="16.6" style="97" customWidth="1"/>
    <col min="2813" max="2813" width="30.1" style="97" customWidth="1"/>
    <col min="2814" max="2816" width="18" style="97" customWidth="1"/>
    <col min="2817" max="2821" width="9.1" style="97" hidden="1" customWidth="1"/>
    <col min="2822" max="3064" width="9.1" style="97"/>
    <col min="3065" max="3065" width="30.1" style="97" customWidth="1"/>
    <col min="3066" max="3068" width="16.6" style="97" customWidth="1"/>
    <col min="3069" max="3069" width="30.1" style="97" customWidth="1"/>
    <col min="3070" max="3072" width="18" style="97" customWidth="1"/>
    <col min="3073" max="3077" width="9.1" style="97" hidden="1" customWidth="1"/>
    <col min="3078" max="3320" width="9.1" style="97"/>
    <col min="3321" max="3321" width="30.1" style="97" customWidth="1"/>
    <col min="3322" max="3324" width="16.6" style="97" customWidth="1"/>
    <col min="3325" max="3325" width="30.1" style="97" customWidth="1"/>
    <col min="3326" max="3328" width="18" style="97" customWidth="1"/>
    <col min="3329" max="3333" width="9.1" style="97" hidden="1" customWidth="1"/>
    <col min="3334" max="3576" width="9.1" style="97"/>
    <col min="3577" max="3577" width="30.1" style="97" customWidth="1"/>
    <col min="3578" max="3580" width="16.6" style="97" customWidth="1"/>
    <col min="3581" max="3581" width="30.1" style="97" customWidth="1"/>
    <col min="3582" max="3584" width="18" style="97" customWidth="1"/>
    <col min="3585" max="3589" width="9.1" style="97" hidden="1" customWidth="1"/>
    <col min="3590" max="3832" width="9.1" style="97"/>
    <col min="3833" max="3833" width="30.1" style="97" customWidth="1"/>
    <col min="3834" max="3836" width="16.6" style="97" customWidth="1"/>
    <col min="3837" max="3837" width="30.1" style="97" customWidth="1"/>
    <col min="3838" max="3840" width="18" style="97" customWidth="1"/>
    <col min="3841" max="3845" width="9.1" style="97" hidden="1" customWidth="1"/>
    <col min="3846" max="4088" width="9.1" style="97"/>
    <col min="4089" max="4089" width="30.1" style="97" customWidth="1"/>
    <col min="4090" max="4092" width="16.6" style="97" customWidth="1"/>
    <col min="4093" max="4093" width="30.1" style="97" customWidth="1"/>
    <col min="4094" max="4096" width="18" style="97" customWidth="1"/>
    <col min="4097" max="4101" width="9.1" style="97" hidden="1" customWidth="1"/>
    <col min="4102" max="4344" width="9.1" style="97"/>
    <col min="4345" max="4345" width="30.1" style="97" customWidth="1"/>
    <col min="4346" max="4348" width="16.6" style="97" customWidth="1"/>
    <col min="4349" max="4349" width="30.1" style="97" customWidth="1"/>
    <col min="4350" max="4352" width="18" style="97" customWidth="1"/>
    <col min="4353" max="4357" width="9.1" style="97" hidden="1" customWidth="1"/>
    <col min="4358" max="4600" width="9.1" style="97"/>
    <col min="4601" max="4601" width="30.1" style="97" customWidth="1"/>
    <col min="4602" max="4604" width="16.6" style="97" customWidth="1"/>
    <col min="4605" max="4605" width="30.1" style="97" customWidth="1"/>
    <col min="4606" max="4608" width="18" style="97" customWidth="1"/>
    <col min="4609" max="4613" width="9.1" style="97" hidden="1" customWidth="1"/>
    <col min="4614" max="4856" width="9.1" style="97"/>
    <col min="4857" max="4857" width="30.1" style="97" customWidth="1"/>
    <col min="4858" max="4860" width="16.6" style="97" customWidth="1"/>
    <col min="4861" max="4861" width="30.1" style="97" customWidth="1"/>
    <col min="4862" max="4864" width="18" style="97" customWidth="1"/>
    <col min="4865" max="4869" width="9.1" style="97" hidden="1" customWidth="1"/>
    <col min="4870" max="5112" width="9.1" style="97"/>
    <col min="5113" max="5113" width="30.1" style="97" customWidth="1"/>
    <col min="5114" max="5116" width="16.6" style="97" customWidth="1"/>
    <col min="5117" max="5117" width="30.1" style="97" customWidth="1"/>
    <col min="5118" max="5120" width="18" style="97" customWidth="1"/>
    <col min="5121" max="5125" width="9.1" style="97" hidden="1" customWidth="1"/>
    <col min="5126" max="5368" width="9.1" style="97"/>
    <col min="5369" max="5369" width="30.1" style="97" customWidth="1"/>
    <col min="5370" max="5372" width="16.6" style="97" customWidth="1"/>
    <col min="5373" max="5373" width="30.1" style="97" customWidth="1"/>
    <col min="5374" max="5376" width="18" style="97" customWidth="1"/>
    <col min="5377" max="5381" width="9.1" style="97" hidden="1" customWidth="1"/>
    <col min="5382" max="5624" width="9.1" style="97"/>
    <col min="5625" max="5625" width="30.1" style="97" customWidth="1"/>
    <col min="5626" max="5628" width="16.6" style="97" customWidth="1"/>
    <col min="5629" max="5629" width="30.1" style="97" customWidth="1"/>
    <col min="5630" max="5632" width="18" style="97" customWidth="1"/>
    <col min="5633" max="5637" width="9.1" style="97" hidden="1" customWidth="1"/>
    <col min="5638" max="5880" width="9.1" style="97"/>
    <col min="5881" max="5881" width="30.1" style="97" customWidth="1"/>
    <col min="5882" max="5884" width="16.6" style="97" customWidth="1"/>
    <col min="5885" max="5885" width="30.1" style="97" customWidth="1"/>
    <col min="5886" max="5888" width="18" style="97" customWidth="1"/>
    <col min="5889" max="5893" width="9.1" style="97" hidden="1" customWidth="1"/>
    <col min="5894" max="6136" width="9.1" style="97"/>
    <col min="6137" max="6137" width="30.1" style="97" customWidth="1"/>
    <col min="6138" max="6140" width="16.6" style="97" customWidth="1"/>
    <col min="6141" max="6141" width="30.1" style="97" customWidth="1"/>
    <col min="6142" max="6144" width="18" style="97" customWidth="1"/>
    <col min="6145" max="6149" width="9.1" style="97" hidden="1" customWidth="1"/>
    <col min="6150" max="6392" width="9.1" style="97"/>
    <col min="6393" max="6393" width="30.1" style="97" customWidth="1"/>
    <col min="6394" max="6396" width="16.6" style="97" customWidth="1"/>
    <col min="6397" max="6397" width="30.1" style="97" customWidth="1"/>
    <col min="6398" max="6400" width="18" style="97" customWidth="1"/>
    <col min="6401" max="6405" width="9.1" style="97" hidden="1" customWidth="1"/>
    <col min="6406" max="6648" width="9.1" style="97"/>
    <col min="6649" max="6649" width="30.1" style="97" customWidth="1"/>
    <col min="6650" max="6652" width="16.6" style="97" customWidth="1"/>
    <col min="6653" max="6653" width="30.1" style="97" customWidth="1"/>
    <col min="6654" max="6656" width="18" style="97" customWidth="1"/>
    <col min="6657" max="6661" width="9.1" style="97" hidden="1" customWidth="1"/>
    <col min="6662" max="6904" width="9.1" style="97"/>
    <col min="6905" max="6905" width="30.1" style="97" customWidth="1"/>
    <col min="6906" max="6908" width="16.6" style="97" customWidth="1"/>
    <col min="6909" max="6909" width="30.1" style="97" customWidth="1"/>
    <col min="6910" max="6912" width="18" style="97" customWidth="1"/>
    <col min="6913" max="6917" width="9.1" style="97" hidden="1" customWidth="1"/>
    <col min="6918" max="7160" width="9.1" style="97"/>
    <col min="7161" max="7161" width="30.1" style="97" customWidth="1"/>
    <col min="7162" max="7164" width="16.6" style="97" customWidth="1"/>
    <col min="7165" max="7165" width="30.1" style="97" customWidth="1"/>
    <col min="7166" max="7168" width="18" style="97" customWidth="1"/>
    <col min="7169" max="7173" width="9.1" style="97" hidden="1" customWidth="1"/>
    <col min="7174" max="7416" width="9.1" style="97"/>
    <col min="7417" max="7417" width="30.1" style="97" customWidth="1"/>
    <col min="7418" max="7420" width="16.6" style="97" customWidth="1"/>
    <col min="7421" max="7421" width="30.1" style="97" customWidth="1"/>
    <col min="7422" max="7424" width="18" style="97" customWidth="1"/>
    <col min="7425" max="7429" width="9.1" style="97" hidden="1" customWidth="1"/>
    <col min="7430" max="7672" width="9.1" style="97"/>
    <col min="7673" max="7673" width="30.1" style="97" customWidth="1"/>
    <col min="7674" max="7676" width="16.6" style="97" customWidth="1"/>
    <col min="7677" max="7677" width="30.1" style="97" customWidth="1"/>
    <col min="7678" max="7680" width="18" style="97" customWidth="1"/>
    <col min="7681" max="7685" width="9.1" style="97" hidden="1" customWidth="1"/>
    <col min="7686" max="7928" width="9.1" style="97"/>
    <col min="7929" max="7929" width="30.1" style="97" customWidth="1"/>
    <col min="7930" max="7932" width="16.6" style="97" customWidth="1"/>
    <col min="7933" max="7933" width="30.1" style="97" customWidth="1"/>
    <col min="7934" max="7936" width="18" style="97" customWidth="1"/>
    <col min="7937" max="7941" width="9.1" style="97" hidden="1" customWidth="1"/>
    <col min="7942" max="8184" width="9.1" style="97"/>
    <col min="8185" max="8185" width="30.1" style="97" customWidth="1"/>
    <col min="8186" max="8188" width="16.6" style="97" customWidth="1"/>
    <col min="8189" max="8189" width="30.1" style="97" customWidth="1"/>
    <col min="8190" max="8192" width="18" style="97" customWidth="1"/>
    <col min="8193" max="8197" width="9.1" style="97" hidden="1" customWidth="1"/>
    <col min="8198" max="8440" width="9.1" style="97"/>
    <col min="8441" max="8441" width="30.1" style="97" customWidth="1"/>
    <col min="8442" max="8444" width="16.6" style="97" customWidth="1"/>
    <col min="8445" max="8445" width="30.1" style="97" customWidth="1"/>
    <col min="8446" max="8448" width="18" style="97" customWidth="1"/>
    <col min="8449" max="8453" width="9.1" style="97" hidden="1" customWidth="1"/>
    <col min="8454" max="8696" width="9.1" style="97"/>
    <col min="8697" max="8697" width="30.1" style="97" customWidth="1"/>
    <col min="8698" max="8700" width="16.6" style="97" customWidth="1"/>
    <col min="8701" max="8701" width="30.1" style="97" customWidth="1"/>
    <col min="8702" max="8704" width="18" style="97" customWidth="1"/>
    <col min="8705" max="8709" width="9.1" style="97" hidden="1" customWidth="1"/>
    <col min="8710" max="8952" width="9.1" style="97"/>
    <col min="8953" max="8953" width="30.1" style="97" customWidth="1"/>
    <col min="8954" max="8956" width="16.6" style="97" customWidth="1"/>
    <col min="8957" max="8957" width="30.1" style="97" customWidth="1"/>
    <col min="8958" max="8960" width="18" style="97" customWidth="1"/>
    <col min="8961" max="8965" width="9.1" style="97" hidden="1" customWidth="1"/>
    <col min="8966" max="9208" width="9.1" style="97"/>
    <col min="9209" max="9209" width="30.1" style="97" customWidth="1"/>
    <col min="9210" max="9212" width="16.6" style="97" customWidth="1"/>
    <col min="9213" max="9213" width="30.1" style="97" customWidth="1"/>
    <col min="9214" max="9216" width="18" style="97" customWidth="1"/>
    <col min="9217" max="9221" width="9.1" style="97" hidden="1" customWidth="1"/>
    <col min="9222" max="9464" width="9.1" style="97"/>
    <col min="9465" max="9465" width="30.1" style="97" customWidth="1"/>
    <col min="9466" max="9468" width="16.6" style="97" customWidth="1"/>
    <col min="9469" max="9469" width="30.1" style="97" customWidth="1"/>
    <col min="9470" max="9472" width="18" style="97" customWidth="1"/>
    <col min="9473" max="9477" width="9.1" style="97" hidden="1" customWidth="1"/>
    <col min="9478" max="9720" width="9.1" style="97"/>
    <col min="9721" max="9721" width="30.1" style="97" customWidth="1"/>
    <col min="9722" max="9724" width="16.6" style="97" customWidth="1"/>
    <col min="9725" max="9725" width="30.1" style="97" customWidth="1"/>
    <col min="9726" max="9728" width="18" style="97" customWidth="1"/>
    <col min="9729" max="9733" width="9.1" style="97" hidden="1" customWidth="1"/>
    <col min="9734" max="9976" width="9.1" style="97"/>
    <col min="9977" max="9977" width="30.1" style="97" customWidth="1"/>
    <col min="9978" max="9980" width="16.6" style="97" customWidth="1"/>
    <col min="9981" max="9981" width="30.1" style="97" customWidth="1"/>
    <col min="9982" max="9984" width="18" style="97" customWidth="1"/>
    <col min="9985" max="9989" width="9.1" style="97" hidden="1" customWidth="1"/>
    <col min="9990" max="10232" width="9.1" style="97"/>
    <col min="10233" max="10233" width="30.1" style="97" customWidth="1"/>
    <col min="10234" max="10236" width="16.6" style="97" customWidth="1"/>
    <col min="10237" max="10237" width="30.1" style="97" customWidth="1"/>
    <col min="10238" max="10240" width="18" style="97" customWidth="1"/>
    <col min="10241" max="10245" width="9.1" style="97" hidden="1" customWidth="1"/>
    <col min="10246" max="10488" width="9.1" style="97"/>
    <col min="10489" max="10489" width="30.1" style="97" customWidth="1"/>
    <col min="10490" max="10492" width="16.6" style="97" customWidth="1"/>
    <col min="10493" max="10493" width="30.1" style="97" customWidth="1"/>
    <col min="10494" max="10496" width="18" style="97" customWidth="1"/>
    <col min="10497" max="10501" width="9.1" style="97" hidden="1" customWidth="1"/>
    <col min="10502" max="10744" width="9.1" style="97"/>
    <col min="10745" max="10745" width="30.1" style="97" customWidth="1"/>
    <col min="10746" max="10748" width="16.6" style="97" customWidth="1"/>
    <col min="10749" max="10749" width="30.1" style="97" customWidth="1"/>
    <col min="10750" max="10752" width="18" style="97" customWidth="1"/>
    <col min="10753" max="10757" width="9.1" style="97" hidden="1" customWidth="1"/>
    <col min="10758" max="11000" width="9.1" style="97"/>
    <col min="11001" max="11001" width="30.1" style="97" customWidth="1"/>
    <col min="11002" max="11004" width="16.6" style="97" customWidth="1"/>
    <col min="11005" max="11005" width="30.1" style="97" customWidth="1"/>
    <col min="11006" max="11008" width="18" style="97" customWidth="1"/>
    <col min="11009" max="11013" width="9.1" style="97" hidden="1" customWidth="1"/>
    <col min="11014" max="11256" width="9.1" style="97"/>
    <col min="11257" max="11257" width="30.1" style="97" customWidth="1"/>
    <col min="11258" max="11260" width="16.6" style="97" customWidth="1"/>
    <col min="11261" max="11261" width="30.1" style="97" customWidth="1"/>
    <col min="11262" max="11264" width="18" style="97" customWidth="1"/>
    <col min="11265" max="11269" width="9.1" style="97" hidden="1" customWidth="1"/>
    <col min="11270" max="11512" width="9.1" style="97"/>
    <col min="11513" max="11513" width="30.1" style="97" customWidth="1"/>
    <col min="11514" max="11516" width="16.6" style="97" customWidth="1"/>
    <col min="11517" max="11517" width="30.1" style="97" customWidth="1"/>
    <col min="11518" max="11520" width="18" style="97" customWidth="1"/>
    <col min="11521" max="11525" width="9.1" style="97" hidden="1" customWidth="1"/>
    <col min="11526" max="11768" width="9.1" style="97"/>
    <col min="11769" max="11769" width="30.1" style="97" customWidth="1"/>
    <col min="11770" max="11772" width="16.6" style="97" customWidth="1"/>
    <col min="11773" max="11773" width="30.1" style="97" customWidth="1"/>
    <col min="11774" max="11776" width="18" style="97" customWidth="1"/>
    <col min="11777" max="11781" width="9.1" style="97" hidden="1" customWidth="1"/>
    <col min="11782" max="12024" width="9.1" style="97"/>
    <col min="12025" max="12025" width="30.1" style="97" customWidth="1"/>
    <col min="12026" max="12028" width="16.6" style="97" customWidth="1"/>
    <col min="12029" max="12029" width="30.1" style="97" customWidth="1"/>
    <col min="12030" max="12032" width="18" style="97" customWidth="1"/>
    <col min="12033" max="12037" width="9.1" style="97" hidden="1" customWidth="1"/>
    <col min="12038" max="12280" width="9.1" style="97"/>
    <col min="12281" max="12281" width="30.1" style="97" customWidth="1"/>
    <col min="12282" max="12284" width="16.6" style="97" customWidth="1"/>
    <col min="12285" max="12285" width="30.1" style="97" customWidth="1"/>
    <col min="12286" max="12288" width="18" style="97" customWidth="1"/>
    <col min="12289" max="12293" width="9.1" style="97" hidden="1" customWidth="1"/>
    <col min="12294" max="12536" width="9.1" style="97"/>
    <col min="12537" max="12537" width="30.1" style="97" customWidth="1"/>
    <col min="12538" max="12540" width="16.6" style="97" customWidth="1"/>
    <col min="12541" max="12541" width="30.1" style="97" customWidth="1"/>
    <col min="12542" max="12544" width="18" style="97" customWidth="1"/>
    <col min="12545" max="12549" width="9.1" style="97" hidden="1" customWidth="1"/>
    <col min="12550" max="12792" width="9.1" style="97"/>
    <col min="12793" max="12793" width="30.1" style="97" customWidth="1"/>
    <col min="12794" max="12796" width="16.6" style="97" customWidth="1"/>
    <col min="12797" max="12797" width="30.1" style="97" customWidth="1"/>
    <col min="12798" max="12800" width="18" style="97" customWidth="1"/>
    <col min="12801" max="12805" width="9.1" style="97" hidden="1" customWidth="1"/>
    <col min="12806" max="13048" width="9.1" style="97"/>
    <col min="13049" max="13049" width="30.1" style="97" customWidth="1"/>
    <col min="13050" max="13052" width="16.6" style="97" customWidth="1"/>
    <col min="13053" max="13053" width="30.1" style="97" customWidth="1"/>
    <col min="13054" max="13056" width="18" style="97" customWidth="1"/>
    <col min="13057" max="13061" width="9.1" style="97" hidden="1" customWidth="1"/>
    <col min="13062" max="13304" width="9.1" style="97"/>
    <col min="13305" max="13305" width="30.1" style="97" customWidth="1"/>
    <col min="13306" max="13308" width="16.6" style="97" customWidth="1"/>
    <col min="13309" max="13309" width="30.1" style="97" customWidth="1"/>
    <col min="13310" max="13312" width="18" style="97" customWidth="1"/>
    <col min="13313" max="13317" width="9.1" style="97" hidden="1" customWidth="1"/>
    <col min="13318" max="13560" width="9.1" style="97"/>
    <col min="13561" max="13561" width="30.1" style="97" customWidth="1"/>
    <col min="13562" max="13564" width="16.6" style="97" customWidth="1"/>
    <col min="13565" max="13565" width="30.1" style="97" customWidth="1"/>
    <col min="13566" max="13568" width="18" style="97" customWidth="1"/>
    <col min="13569" max="13573" width="9.1" style="97" hidden="1" customWidth="1"/>
    <col min="13574" max="13816" width="9.1" style="97"/>
    <col min="13817" max="13817" width="30.1" style="97" customWidth="1"/>
    <col min="13818" max="13820" width="16.6" style="97" customWidth="1"/>
    <col min="13821" max="13821" width="30.1" style="97" customWidth="1"/>
    <col min="13822" max="13824" width="18" style="97" customWidth="1"/>
    <col min="13825" max="13829" width="9.1" style="97" hidden="1" customWidth="1"/>
    <col min="13830" max="14072" width="9.1" style="97"/>
    <col min="14073" max="14073" width="30.1" style="97" customWidth="1"/>
    <col min="14074" max="14076" width="16.6" style="97" customWidth="1"/>
    <col min="14077" max="14077" width="30.1" style="97" customWidth="1"/>
    <col min="14078" max="14080" width="18" style="97" customWidth="1"/>
    <col min="14081" max="14085" width="9.1" style="97" hidden="1" customWidth="1"/>
    <col min="14086" max="14328" width="9.1" style="97"/>
    <col min="14329" max="14329" width="30.1" style="97" customWidth="1"/>
    <col min="14330" max="14332" width="16.6" style="97" customWidth="1"/>
    <col min="14333" max="14333" width="30.1" style="97" customWidth="1"/>
    <col min="14334" max="14336" width="18" style="97" customWidth="1"/>
    <col min="14337" max="14341" width="9.1" style="97" hidden="1" customWidth="1"/>
    <col min="14342" max="14584" width="9.1" style="97"/>
    <col min="14585" max="14585" width="30.1" style="97" customWidth="1"/>
    <col min="14586" max="14588" width="16.6" style="97" customWidth="1"/>
    <col min="14589" max="14589" width="30.1" style="97" customWidth="1"/>
    <col min="14590" max="14592" width="18" style="97" customWidth="1"/>
    <col min="14593" max="14597" width="9.1" style="97" hidden="1" customWidth="1"/>
    <col min="14598" max="14840" width="9.1" style="97"/>
    <col min="14841" max="14841" width="30.1" style="97" customWidth="1"/>
    <col min="14842" max="14844" width="16.6" style="97" customWidth="1"/>
    <col min="14845" max="14845" width="30.1" style="97" customWidth="1"/>
    <col min="14846" max="14848" width="18" style="97" customWidth="1"/>
    <col min="14849" max="14853" width="9.1" style="97" hidden="1" customWidth="1"/>
    <col min="14854" max="15096" width="9.1" style="97"/>
    <col min="15097" max="15097" width="30.1" style="97" customWidth="1"/>
    <col min="15098" max="15100" width="16.6" style="97" customWidth="1"/>
    <col min="15101" max="15101" width="30.1" style="97" customWidth="1"/>
    <col min="15102" max="15104" width="18" style="97" customWidth="1"/>
    <col min="15105" max="15109" width="9.1" style="97" hidden="1" customWidth="1"/>
    <col min="15110" max="15352" width="9.1" style="97"/>
    <col min="15353" max="15353" width="30.1" style="97" customWidth="1"/>
    <col min="15354" max="15356" width="16.6" style="97" customWidth="1"/>
    <col min="15357" max="15357" width="30.1" style="97" customWidth="1"/>
    <col min="15358" max="15360" width="18" style="97" customWidth="1"/>
    <col min="15361" max="15365" width="9.1" style="97" hidden="1" customWidth="1"/>
    <col min="15366" max="15608" width="9.1" style="97"/>
    <col min="15609" max="15609" width="30.1" style="97" customWidth="1"/>
    <col min="15610" max="15612" width="16.6" style="97" customWidth="1"/>
    <col min="15613" max="15613" width="30.1" style="97" customWidth="1"/>
    <col min="15614" max="15616" width="18" style="97" customWidth="1"/>
    <col min="15617" max="15621" width="9.1" style="97" hidden="1" customWidth="1"/>
    <col min="15622" max="15864" width="9.1" style="97"/>
    <col min="15865" max="15865" width="30.1" style="97" customWidth="1"/>
    <col min="15866" max="15868" width="16.6" style="97" customWidth="1"/>
    <col min="15869" max="15869" width="30.1" style="97" customWidth="1"/>
    <col min="15870" max="15872" width="18" style="97" customWidth="1"/>
    <col min="15873" max="15877" width="9.1" style="97" hidden="1" customWidth="1"/>
    <col min="15878" max="16120" width="9.1" style="97"/>
    <col min="16121" max="16121" width="30.1" style="97" customWidth="1"/>
    <col min="16122" max="16124" width="16.6" style="97" customWidth="1"/>
    <col min="16125" max="16125" width="30.1" style="97" customWidth="1"/>
    <col min="16126" max="16128" width="18" style="97" customWidth="1"/>
    <col min="16129" max="16133" width="9.1" style="97" hidden="1" customWidth="1"/>
    <col min="16134" max="16384" width="9.1" style="97"/>
  </cols>
  <sheetData>
    <row r="1" s="90" customFormat="1" ht="19.5" customHeight="1" spans="1:7">
      <c r="A1" s="36" t="s">
        <v>1362</v>
      </c>
      <c r="F1" s="98"/>
      <c r="G1" s="98"/>
    </row>
    <row r="2" s="91" customFormat="1" ht="22.5" spans="1:7">
      <c r="A2" s="99" t="s">
        <v>1363</v>
      </c>
      <c r="B2" s="99"/>
      <c r="C2" s="99"/>
      <c r="D2" s="99"/>
      <c r="E2" s="99"/>
      <c r="F2" s="99"/>
      <c r="G2" s="99"/>
    </row>
    <row r="3" s="92" customFormat="1" ht="19.5" customHeight="1" spans="1:7">
      <c r="A3" s="100"/>
      <c r="F3" s="101" t="s">
        <v>26</v>
      </c>
      <c r="G3" s="101"/>
    </row>
    <row r="4" s="92" customFormat="1" ht="31.05" customHeight="1" spans="1:7">
      <c r="A4" s="102" t="s">
        <v>1364</v>
      </c>
      <c r="B4" s="103"/>
      <c r="C4" s="104" t="s">
        <v>28</v>
      </c>
      <c r="D4" s="105" t="s">
        <v>29</v>
      </c>
      <c r="E4" s="106" t="s">
        <v>30</v>
      </c>
      <c r="F4" s="107"/>
      <c r="G4" s="108"/>
    </row>
    <row r="5" s="92" customFormat="1" ht="38.25" customHeight="1" spans="1:7">
      <c r="A5" s="109"/>
      <c r="B5" s="110"/>
      <c r="C5" s="111"/>
      <c r="D5" s="112"/>
      <c r="E5" s="113" t="s">
        <v>34</v>
      </c>
      <c r="F5" s="73" t="s">
        <v>35</v>
      </c>
      <c r="G5" s="73" t="s">
        <v>36</v>
      </c>
    </row>
    <row r="6" s="92" customFormat="1" ht="19.5" customHeight="1" spans="1:7">
      <c r="A6" s="114" t="s">
        <v>1365</v>
      </c>
      <c r="B6" s="115"/>
      <c r="C6" s="116"/>
      <c r="D6" s="117"/>
      <c r="E6" s="118"/>
      <c r="F6" s="24">
        <f t="shared" ref="F6" si="0">IF(C6&gt;0,E6/C6*100,)</f>
        <v>0</v>
      </c>
      <c r="G6" s="24">
        <f t="shared" ref="G6" si="1">IF(D6&gt;0,E6/D6*100,)</f>
        <v>0</v>
      </c>
    </row>
    <row r="7" s="92" customFormat="1" ht="19.5" customHeight="1" spans="1:7">
      <c r="A7" s="119" t="s">
        <v>1366</v>
      </c>
      <c r="B7" s="120" t="s">
        <v>1174</v>
      </c>
      <c r="C7" s="121">
        <f>SUM(C8:C9)</f>
        <v>880</v>
      </c>
      <c r="D7" s="121">
        <f t="shared" ref="D7:E7" si="2">SUM(D8:D9)</f>
        <v>780.14</v>
      </c>
      <c r="E7" s="121">
        <f t="shared" si="2"/>
        <v>849</v>
      </c>
      <c r="F7" s="24">
        <f t="shared" ref="F7:F11" si="3">IF(C7&gt;0,E7/C7*100,)</f>
        <v>96.4772727272727</v>
      </c>
      <c r="G7" s="24">
        <f t="shared" ref="G7:G11" si="4">IF(D7&gt;0,E7/D7*100,)</f>
        <v>108.826620862922</v>
      </c>
    </row>
    <row r="8" s="92" customFormat="1" ht="19.5" customHeight="1" spans="1:7">
      <c r="A8" s="119"/>
      <c r="B8" s="120" t="s">
        <v>1367</v>
      </c>
      <c r="C8" s="122"/>
      <c r="D8" s="117">
        <v>129.1</v>
      </c>
      <c r="E8" s="118"/>
      <c r="F8" s="24">
        <f t="shared" si="3"/>
        <v>0</v>
      </c>
      <c r="G8" s="24">
        <f t="shared" si="4"/>
        <v>0</v>
      </c>
    </row>
    <row r="9" s="92" customFormat="1" ht="19.5" customHeight="1" spans="1:7">
      <c r="A9" s="119"/>
      <c r="B9" s="120" t="s">
        <v>1368</v>
      </c>
      <c r="C9" s="122">
        <v>880</v>
      </c>
      <c r="D9" s="117">
        <v>651.04</v>
      </c>
      <c r="E9" s="118">
        <v>849</v>
      </c>
      <c r="F9" s="24">
        <f t="shared" si="3"/>
        <v>96.4772727272727</v>
      </c>
      <c r="G9" s="24">
        <f t="shared" si="4"/>
        <v>130.406733841239</v>
      </c>
    </row>
    <row r="10" s="92" customFormat="1" ht="19.5" customHeight="1" spans="1:7">
      <c r="A10" s="114" t="s">
        <v>1369</v>
      </c>
      <c r="B10" s="115"/>
      <c r="C10" s="116">
        <v>1052</v>
      </c>
      <c r="D10" s="117">
        <v>727.15</v>
      </c>
      <c r="E10" s="118">
        <v>1011</v>
      </c>
      <c r="F10" s="24">
        <f t="shared" si="3"/>
        <v>96.1026615969582</v>
      </c>
      <c r="G10" s="24">
        <f t="shared" si="4"/>
        <v>139.035962318641</v>
      </c>
    </row>
    <row r="11" s="93" customFormat="1" ht="19.5" customHeight="1" spans="1:7">
      <c r="A11" s="123" t="s">
        <v>1132</v>
      </c>
      <c r="B11" s="124"/>
      <c r="C11" s="125">
        <f>C6+C7+C10</f>
        <v>1932</v>
      </c>
      <c r="D11" s="125">
        <f t="shared" ref="D11:E11" si="5">D6+D7+D10</f>
        <v>1507.29</v>
      </c>
      <c r="E11" s="125">
        <f t="shared" si="5"/>
        <v>1860</v>
      </c>
      <c r="F11" s="24">
        <f t="shared" si="3"/>
        <v>96.2732919254658</v>
      </c>
      <c r="G11" s="24">
        <f t="shared" si="4"/>
        <v>123.400274665127</v>
      </c>
    </row>
    <row r="12" s="94" customFormat="1" ht="18.75" customHeight="1" spans="1:7">
      <c r="A12" s="95"/>
      <c r="F12" s="96"/>
      <c r="G12" s="96"/>
    </row>
  </sheetData>
  <mergeCells count="10">
    <mergeCell ref="A2:G2"/>
    <mergeCell ref="F3:G3"/>
    <mergeCell ref="E4:G4"/>
    <mergeCell ref="A6:B6"/>
    <mergeCell ref="A10:B10"/>
    <mergeCell ref="A11:B11"/>
    <mergeCell ref="A7:A9"/>
    <mergeCell ref="C4:C5"/>
    <mergeCell ref="D4:D5"/>
    <mergeCell ref="A4:B5"/>
  </mergeCells>
  <printOptions horizontalCentered="1"/>
  <pageMargins left="0.393700787401575" right="0.393700787401575" top="0.590551181102362" bottom="0.62992125984252" header="0.393700787401575" footer="0.393700787401575"/>
  <pageSetup paperSize="9" scale="95" firstPageNumber="65" orientation="landscape" useFirstPageNumber="1"/>
  <headerFooter alignWithMargins="0">
    <oddFooter>&amp;R&amp;16—&amp;P—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7"/>
  <sheetViews>
    <sheetView showGridLines="0" showZeros="0" zoomScale="80" zoomScaleNormal="80" workbookViewId="0">
      <pane ySplit="6" topLeftCell="A259" activePane="bottomLeft" state="frozen"/>
      <selection/>
      <selection pane="bottomLeft" activeCell="K262" sqref="K262"/>
    </sheetView>
  </sheetViews>
  <sheetFormatPr defaultColWidth="9" defaultRowHeight="13.5"/>
  <cols>
    <col min="1" max="1" width="39.1" style="34" customWidth="1"/>
    <col min="2" max="4" width="8.6" style="34" customWidth="1"/>
    <col min="5" max="5" width="9.3" style="34" customWidth="1"/>
    <col min="6" max="6" width="13.6" style="34" customWidth="1"/>
    <col min="7" max="7" width="60.5" style="34" customWidth="1"/>
    <col min="8" max="10" width="8.6" style="34" customWidth="1"/>
    <col min="11" max="12" width="7.2" style="34" customWidth="1"/>
    <col min="13" max="16384" width="9" style="34"/>
  </cols>
  <sheetData>
    <row r="1" ht="14.25" spans="1:6">
      <c r="A1" s="36" t="s">
        <v>1370</v>
      </c>
      <c r="B1" s="62"/>
      <c r="C1" s="62"/>
      <c r="D1" s="62"/>
      <c r="E1" s="62"/>
      <c r="F1" s="62"/>
    </row>
    <row r="2" s="32" customFormat="1" ht="22.5" spans="1:12">
      <c r="A2" s="26" t="s">
        <v>1371</v>
      </c>
      <c r="B2" s="26"/>
      <c r="C2" s="26"/>
      <c r="D2" s="26"/>
      <c r="E2" s="26"/>
      <c r="F2" s="26"/>
      <c r="G2" s="26"/>
      <c r="H2" s="26"/>
      <c r="I2" s="26"/>
      <c r="J2" s="26"/>
      <c r="K2" s="26"/>
      <c r="L2" s="26"/>
    </row>
    <row r="3" ht="14.25" customHeight="1" spans="12:12">
      <c r="L3" s="78" t="s">
        <v>26</v>
      </c>
    </row>
    <row r="4" ht="19.95" customHeight="1" spans="1:12">
      <c r="A4" s="72" t="s">
        <v>1024</v>
      </c>
      <c r="B4" s="72"/>
      <c r="C4" s="72"/>
      <c r="D4" s="72"/>
      <c r="E4" s="72"/>
      <c r="F4" s="72"/>
      <c r="G4" s="72" t="s">
        <v>1025</v>
      </c>
      <c r="H4" s="72"/>
      <c r="I4" s="72"/>
      <c r="J4" s="72"/>
      <c r="K4" s="72"/>
      <c r="L4" s="72"/>
    </row>
    <row r="5" s="35" customFormat="1" ht="19.5" customHeight="1" spans="1:12">
      <c r="A5" s="66" t="s">
        <v>27</v>
      </c>
      <c r="B5" s="66" t="s">
        <v>28</v>
      </c>
      <c r="C5" s="66" t="s">
        <v>29</v>
      </c>
      <c r="D5" s="66" t="s">
        <v>30</v>
      </c>
      <c r="E5" s="66"/>
      <c r="F5" s="66"/>
      <c r="G5" s="66" t="s">
        <v>27</v>
      </c>
      <c r="H5" s="66" t="s">
        <v>28</v>
      </c>
      <c r="I5" s="66" t="s">
        <v>29</v>
      </c>
      <c r="J5" s="66" t="s">
        <v>30</v>
      </c>
      <c r="K5" s="66"/>
      <c r="L5" s="66"/>
    </row>
    <row r="6" s="35" customFormat="1" ht="52.05" customHeight="1" spans="1:14">
      <c r="A6" s="66"/>
      <c r="B6" s="66"/>
      <c r="C6" s="66"/>
      <c r="D6" s="66" t="s">
        <v>34</v>
      </c>
      <c r="E6" s="73" t="s">
        <v>35</v>
      </c>
      <c r="F6" s="73" t="s">
        <v>36</v>
      </c>
      <c r="G6" s="66"/>
      <c r="H6" s="66"/>
      <c r="I6" s="66"/>
      <c r="J6" s="66" t="s">
        <v>34</v>
      </c>
      <c r="K6" s="73" t="s">
        <v>35</v>
      </c>
      <c r="L6" s="73" t="s">
        <v>36</v>
      </c>
      <c r="M6" s="49" t="s">
        <v>31</v>
      </c>
      <c r="N6" s="49" t="s">
        <v>31</v>
      </c>
    </row>
    <row r="7" ht="20.1" customHeight="1" spans="1:14">
      <c r="A7" s="47" t="s">
        <v>1372</v>
      </c>
      <c r="B7" s="47"/>
      <c r="C7" s="47"/>
      <c r="D7" s="47"/>
      <c r="E7" s="24">
        <f t="shared" ref="E7" si="0">IF(B7&gt;0,D7/B7*100,)</f>
        <v>0</v>
      </c>
      <c r="F7" s="24">
        <f t="shared" ref="F7" si="1">IF(C7&gt;0,D7/C7*100,)</f>
        <v>0</v>
      </c>
      <c r="G7" s="47" t="s">
        <v>1373</v>
      </c>
      <c r="H7" s="74">
        <f>H8+H14+H20</f>
        <v>3</v>
      </c>
      <c r="I7" s="74">
        <f t="shared" ref="I7:J7" si="2">I8+I14+I20</f>
        <v>0</v>
      </c>
      <c r="J7" s="74">
        <f t="shared" si="2"/>
        <v>3</v>
      </c>
      <c r="K7" s="24">
        <f t="shared" ref="K7" si="3">IF(H7&gt;0,J7/H7*100,)</f>
        <v>100</v>
      </c>
      <c r="L7" s="24">
        <f t="shared" ref="L7" si="4">IF(I7&gt;0,J7/I7*100,)</f>
        <v>0</v>
      </c>
      <c r="M7" s="47"/>
      <c r="N7" s="74">
        <f t="shared" ref="N7" si="5">N8+N14+N20</f>
        <v>0</v>
      </c>
    </row>
    <row r="8" ht="20.1" customHeight="1" spans="1:14">
      <c r="A8" s="47" t="s">
        <v>1374</v>
      </c>
      <c r="B8" s="47"/>
      <c r="C8" s="47"/>
      <c r="D8" s="47"/>
      <c r="E8" s="24">
        <f t="shared" ref="E8:E34" si="6">IF(B8&gt;0,D8/B8*100,)</f>
        <v>0</v>
      </c>
      <c r="F8" s="24">
        <f t="shared" ref="F8:F34" si="7">IF(C8&gt;0,D8/C8*100,)</f>
        <v>0</v>
      </c>
      <c r="G8" s="48" t="s">
        <v>1375</v>
      </c>
      <c r="H8" s="74">
        <f>SUM(H9:H13)</f>
        <v>3</v>
      </c>
      <c r="I8" s="74">
        <f t="shared" ref="I8:J8" si="8">SUM(I9:I13)</f>
        <v>0</v>
      </c>
      <c r="J8" s="74">
        <f t="shared" si="8"/>
        <v>3</v>
      </c>
      <c r="K8" s="24">
        <f t="shared" ref="K8:K71" si="9">IF(H8&gt;0,J8/H8*100,)</f>
        <v>100</v>
      </c>
      <c r="L8" s="24">
        <f t="shared" ref="L8:L71" si="10">IF(I8&gt;0,J8/I8*100,)</f>
        <v>0</v>
      </c>
      <c r="M8" s="47"/>
      <c r="N8" s="74">
        <f t="shared" ref="N8" si="11">SUM(N9:N13)</f>
        <v>0</v>
      </c>
    </row>
    <row r="9" ht="20.1" customHeight="1" spans="1:14">
      <c r="A9" s="47" t="s">
        <v>1376</v>
      </c>
      <c r="B9" s="47"/>
      <c r="C9" s="47"/>
      <c r="D9" s="47"/>
      <c r="E9" s="24">
        <f t="shared" si="6"/>
        <v>0</v>
      </c>
      <c r="F9" s="24">
        <f t="shared" si="7"/>
        <v>0</v>
      </c>
      <c r="G9" s="48" t="s">
        <v>1377</v>
      </c>
      <c r="H9" s="52"/>
      <c r="I9" s="52"/>
      <c r="J9" s="52"/>
      <c r="K9" s="24">
        <f t="shared" si="9"/>
        <v>0</v>
      </c>
      <c r="L9" s="24">
        <f t="shared" si="10"/>
        <v>0</v>
      </c>
      <c r="M9" s="47"/>
      <c r="N9" s="52"/>
    </row>
    <row r="10" ht="20.1" customHeight="1" spans="1:14">
      <c r="A10" s="47" t="s">
        <v>1378</v>
      </c>
      <c r="B10" s="47">
        <v>41</v>
      </c>
      <c r="C10" s="47">
        <v>42</v>
      </c>
      <c r="D10" s="47">
        <v>49</v>
      </c>
      <c r="E10" s="24">
        <f t="shared" si="6"/>
        <v>119.512195121951</v>
      </c>
      <c r="F10" s="24">
        <f t="shared" si="7"/>
        <v>116.666666666667</v>
      </c>
      <c r="G10" s="48" t="s">
        <v>1379</v>
      </c>
      <c r="H10" s="52">
        <v>3</v>
      </c>
      <c r="I10" s="52"/>
      <c r="J10" s="52">
        <v>3</v>
      </c>
      <c r="K10" s="24">
        <f t="shared" si="9"/>
        <v>100</v>
      </c>
      <c r="L10" s="24">
        <f t="shared" si="10"/>
        <v>0</v>
      </c>
      <c r="M10" s="47"/>
      <c r="N10" s="52"/>
    </row>
    <row r="11" ht="20.1" customHeight="1" spans="1:14">
      <c r="A11" s="47" t="s">
        <v>1380</v>
      </c>
      <c r="B11" s="47"/>
      <c r="C11" s="47"/>
      <c r="D11" s="47"/>
      <c r="E11" s="24">
        <f t="shared" si="6"/>
        <v>0</v>
      </c>
      <c r="F11" s="24">
        <f t="shared" si="7"/>
        <v>0</v>
      </c>
      <c r="G11" s="48" t="s">
        <v>1381</v>
      </c>
      <c r="H11" s="52"/>
      <c r="I11" s="52"/>
      <c r="J11" s="52"/>
      <c r="K11" s="24">
        <f t="shared" si="9"/>
        <v>0</v>
      </c>
      <c r="L11" s="24">
        <f t="shared" si="10"/>
        <v>0</v>
      </c>
      <c r="M11" s="47"/>
      <c r="N11" s="52"/>
    </row>
    <row r="12" ht="20.1" customHeight="1" spans="1:14">
      <c r="A12" s="47" t="s">
        <v>1382</v>
      </c>
      <c r="B12" s="74">
        <f>SUM(B13:B17)</f>
        <v>37026</v>
      </c>
      <c r="C12" s="74">
        <f t="shared" ref="C12:D12" si="12">SUM(C13:C17)</f>
        <v>23356</v>
      </c>
      <c r="D12" s="74">
        <f t="shared" si="12"/>
        <v>29466</v>
      </c>
      <c r="E12" s="24">
        <f t="shared" si="6"/>
        <v>79.5819154107924</v>
      </c>
      <c r="F12" s="24">
        <f t="shared" si="7"/>
        <v>126.160301421476</v>
      </c>
      <c r="G12" s="48" t="s">
        <v>1383</v>
      </c>
      <c r="H12" s="52"/>
      <c r="I12" s="52"/>
      <c r="J12" s="52"/>
      <c r="K12" s="24">
        <f t="shared" si="9"/>
        <v>0</v>
      </c>
      <c r="L12" s="24">
        <f t="shared" si="10"/>
        <v>0</v>
      </c>
      <c r="M12" s="74">
        <f t="shared" ref="M12" si="13">SUM(M13:M17)</f>
        <v>0</v>
      </c>
      <c r="N12" s="52"/>
    </row>
    <row r="13" ht="20.1" customHeight="1" spans="1:14">
      <c r="A13" s="52" t="s">
        <v>1384</v>
      </c>
      <c r="B13" s="52"/>
      <c r="C13" s="52"/>
      <c r="D13" s="52"/>
      <c r="E13" s="24">
        <f t="shared" si="6"/>
        <v>0</v>
      </c>
      <c r="F13" s="24">
        <f t="shared" si="7"/>
        <v>0</v>
      </c>
      <c r="G13" s="48" t="s">
        <v>1385</v>
      </c>
      <c r="H13" s="52"/>
      <c r="I13" s="52"/>
      <c r="J13" s="52"/>
      <c r="K13" s="24">
        <f t="shared" si="9"/>
        <v>0</v>
      </c>
      <c r="L13" s="24">
        <f t="shared" si="10"/>
        <v>0</v>
      </c>
      <c r="M13" s="52"/>
      <c r="N13" s="52"/>
    </row>
    <row r="14" ht="20.1" customHeight="1" spans="1:14">
      <c r="A14" s="52" t="s">
        <v>1386</v>
      </c>
      <c r="B14" s="52"/>
      <c r="C14" s="52"/>
      <c r="D14" s="52"/>
      <c r="E14" s="24">
        <f t="shared" si="6"/>
        <v>0</v>
      </c>
      <c r="F14" s="24">
        <f t="shared" si="7"/>
        <v>0</v>
      </c>
      <c r="G14" s="48" t="s">
        <v>1387</v>
      </c>
      <c r="H14" s="74">
        <f>SUM(H15:H19)</f>
        <v>0</v>
      </c>
      <c r="I14" s="74">
        <f t="shared" ref="I14:J14" si="14">SUM(I15:I19)</f>
        <v>0</v>
      </c>
      <c r="J14" s="74">
        <f t="shared" si="14"/>
        <v>0</v>
      </c>
      <c r="K14" s="24">
        <f t="shared" si="9"/>
        <v>0</v>
      </c>
      <c r="L14" s="24">
        <f t="shared" si="10"/>
        <v>0</v>
      </c>
      <c r="M14" s="52"/>
      <c r="N14" s="74">
        <f t="shared" ref="N14" si="15">SUM(N15:N19)</f>
        <v>0</v>
      </c>
    </row>
    <row r="15" ht="20.1" customHeight="1" spans="1:14">
      <c r="A15" s="52" t="s">
        <v>1388</v>
      </c>
      <c r="B15" s="52"/>
      <c r="C15" s="52"/>
      <c r="D15" s="52"/>
      <c r="E15" s="24">
        <f t="shared" si="6"/>
        <v>0</v>
      </c>
      <c r="F15" s="24">
        <f t="shared" si="7"/>
        <v>0</v>
      </c>
      <c r="G15" s="48" t="s">
        <v>1389</v>
      </c>
      <c r="H15" s="52"/>
      <c r="I15" s="52"/>
      <c r="J15" s="52"/>
      <c r="K15" s="24">
        <f t="shared" si="9"/>
        <v>0</v>
      </c>
      <c r="L15" s="24">
        <f t="shared" si="10"/>
        <v>0</v>
      </c>
      <c r="M15" s="52"/>
      <c r="N15" s="52"/>
    </row>
    <row r="16" ht="20.1" customHeight="1" spans="1:14">
      <c r="A16" s="52" t="s">
        <v>1390</v>
      </c>
      <c r="B16" s="52"/>
      <c r="C16" s="52">
        <v>-345</v>
      </c>
      <c r="D16" s="52"/>
      <c r="E16" s="24">
        <f t="shared" si="6"/>
        <v>0</v>
      </c>
      <c r="F16" s="24">
        <f t="shared" si="7"/>
        <v>0</v>
      </c>
      <c r="G16" s="48" t="s">
        <v>1391</v>
      </c>
      <c r="H16" s="52"/>
      <c r="I16" s="52"/>
      <c r="J16" s="52"/>
      <c r="K16" s="24">
        <f t="shared" si="9"/>
        <v>0</v>
      </c>
      <c r="L16" s="24">
        <f t="shared" si="10"/>
        <v>0</v>
      </c>
      <c r="M16" s="52"/>
      <c r="N16" s="52"/>
    </row>
    <row r="17" ht="20.1" customHeight="1" spans="1:14">
      <c r="A17" s="52" t="s">
        <v>1392</v>
      </c>
      <c r="B17" s="47">
        <v>37026</v>
      </c>
      <c r="C17" s="47">
        <v>23701</v>
      </c>
      <c r="D17" s="47">
        <v>29466</v>
      </c>
      <c r="E17" s="24">
        <f t="shared" si="6"/>
        <v>79.5819154107924</v>
      </c>
      <c r="F17" s="24">
        <f t="shared" si="7"/>
        <v>124.323868191216</v>
      </c>
      <c r="G17" s="48" t="s">
        <v>1393</v>
      </c>
      <c r="H17" s="52"/>
      <c r="I17" s="52"/>
      <c r="J17" s="52"/>
      <c r="K17" s="24">
        <f t="shared" si="9"/>
        <v>0</v>
      </c>
      <c r="L17" s="24">
        <f t="shared" si="10"/>
        <v>0</v>
      </c>
      <c r="M17" s="47"/>
      <c r="N17" s="52"/>
    </row>
    <row r="18" ht="20.1" customHeight="1" spans="1:14">
      <c r="A18" s="47" t="s">
        <v>1394</v>
      </c>
      <c r="B18" s="47"/>
      <c r="C18" s="47"/>
      <c r="D18" s="47"/>
      <c r="E18" s="24">
        <f t="shared" si="6"/>
        <v>0</v>
      </c>
      <c r="F18" s="24">
        <f t="shared" si="7"/>
        <v>0</v>
      </c>
      <c r="G18" s="48" t="s">
        <v>1395</v>
      </c>
      <c r="H18" s="52"/>
      <c r="I18" s="52"/>
      <c r="J18" s="52"/>
      <c r="K18" s="24">
        <f t="shared" si="9"/>
        <v>0</v>
      </c>
      <c r="L18" s="24">
        <f t="shared" si="10"/>
        <v>0</v>
      </c>
      <c r="M18" s="47"/>
      <c r="N18" s="52"/>
    </row>
    <row r="19" ht="20.1" customHeight="1" spans="1:14">
      <c r="A19" s="47" t="s">
        <v>1396</v>
      </c>
      <c r="B19" s="75">
        <f>SUM(B20:B21)</f>
        <v>0</v>
      </c>
      <c r="C19" s="75">
        <f t="shared" ref="C19:D19" si="16">SUM(C20:C21)</f>
        <v>0</v>
      </c>
      <c r="D19" s="75">
        <f t="shared" si="16"/>
        <v>0</v>
      </c>
      <c r="E19" s="24">
        <f t="shared" si="6"/>
        <v>0</v>
      </c>
      <c r="F19" s="24">
        <f t="shared" si="7"/>
        <v>0</v>
      </c>
      <c r="G19" s="48" t="s">
        <v>1397</v>
      </c>
      <c r="H19" s="52"/>
      <c r="I19" s="52"/>
      <c r="J19" s="52"/>
      <c r="K19" s="24">
        <f t="shared" si="9"/>
        <v>0</v>
      </c>
      <c r="L19" s="24">
        <f t="shared" si="10"/>
        <v>0</v>
      </c>
      <c r="M19" s="75">
        <f t="shared" ref="M19" si="17">SUM(M20:M21)</f>
        <v>0</v>
      </c>
      <c r="N19" s="52"/>
    </row>
    <row r="20" ht="20.1" customHeight="1" spans="1:14">
      <c r="A20" s="52" t="s">
        <v>1398</v>
      </c>
      <c r="B20" s="52"/>
      <c r="C20" s="52"/>
      <c r="D20" s="52"/>
      <c r="E20" s="24">
        <f t="shared" si="6"/>
        <v>0</v>
      </c>
      <c r="F20" s="24">
        <f t="shared" si="7"/>
        <v>0</v>
      </c>
      <c r="G20" s="48" t="s">
        <v>1399</v>
      </c>
      <c r="H20" s="74">
        <f>SUM(H21:H22)</f>
        <v>0</v>
      </c>
      <c r="I20" s="74">
        <f t="shared" ref="I20:J20" si="18">SUM(I21:I22)</f>
        <v>0</v>
      </c>
      <c r="J20" s="74">
        <f t="shared" si="18"/>
        <v>0</v>
      </c>
      <c r="K20" s="24">
        <f t="shared" si="9"/>
        <v>0</v>
      </c>
      <c r="L20" s="24">
        <f t="shared" si="10"/>
        <v>0</v>
      </c>
      <c r="M20" s="52"/>
      <c r="N20" s="74">
        <f t="shared" ref="N20" si="19">SUM(N21:N22)</f>
        <v>0</v>
      </c>
    </row>
    <row r="21" ht="20.1" customHeight="1" spans="1:14">
      <c r="A21" s="52" t="s">
        <v>1400</v>
      </c>
      <c r="B21" s="52"/>
      <c r="C21" s="52"/>
      <c r="D21" s="52"/>
      <c r="E21" s="24">
        <f t="shared" si="6"/>
        <v>0</v>
      </c>
      <c r="F21" s="24">
        <f t="shared" si="7"/>
        <v>0</v>
      </c>
      <c r="G21" s="51" t="s">
        <v>1401</v>
      </c>
      <c r="H21" s="52"/>
      <c r="I21" s="52"/>
      <c r="J21" s="52"/>
      <c r="K21" s="24">
        <f t="shared" si="9"/>
        <v>0</v>
      </c>
      <c r="L21" s="24">
        <f t="shared" si="10"/>
        <v>0</v>
      </c>
      <c r="M21" s="52"/>
      <c r="N21" s="52"/>
    </row>
    <row r="22" ht="20.1" customHeight="1" spans="1:14">
      <c r="A22" s="47" t="s">
        <v>1402</v>
      </c>
      <c r="B22" s="47">
        <v>55</v>
      </c>
      <c r="C22" s="47">
        <v>97</v>
      </c>
      <c r="D22" s="47">
        <v>49</v>
      </c>
      <c r="E22" s="24">
        <f t="shared" si="6"/>
        <v>89.0909090909091</v>
      </c>
      <c r="F22" s="24">
        <f t="shared" si="7"/>
        <v>50.5154639175258</v>
      </c>
      <c r="G22" s="51" t="s">
        <v>1403</v>
      </c>
      <c r="H22" s="52"/>
      <c r="I22" s="52"/>
      <c r="J22" s="52"/>
      <c r="K22" s="24">
        <f t="shared" si="9"/>
        <v>0</v>
      </c>
      <c r="L22" s="24">
        <f t="shared" si="10"/>
        <v>0</v>
      </c>
      <c r="M22" s="47"/>
      <c r="N22" s="52"/>
    </row>
    <row r="23" ht="20.1" customHeight="1" spans="1:14">
      <c r="A23" s="47" t="s">
        <v>1404</v>
      </c>
      <c r="B23" s="47"/>
      <c r="C23" s="47"/>
      <c r="D23" s="47"/>
      <c r="E23" s="24">
        <f t="shared" si="6"/>
        <v>0</v>
      </c>
      <c r="F23" s="24">
        <f t="shared" si="7"/>
        <v>0</v>
      </c>
      <c r="G23" s="47" t="s">
        <v>1405</v>
      </c>
      <c r="H23" s="74">
        <f>H24+H28+H32</f>
        <v>475</v>
      </c>
      <c r="I23" s="74">
        <f t="shared" ref="I23:J23" si="20">I24+I28+I32</f>
        <v>46</v>
      </c>
      <c r="J23" s="74">
        <f t="shared" si="20"/>
        <v>656</v>
      </c>
      <c r="K23" s="24">
        <f t="shared" si="9"/>
        <v>138.105263157895</v>
      </c>
      <c r="L23" s="24">
        <f t="shared" si="10"/>
        <v>1426.08695652174</v>
      </c>
      <c r="M23" s="47"/>
      <c r="N23" s="74">
        <f t="shared" ref="N23" si="21">N24+N28+N32</f>
        <v>0</v>
      </c>
    </row>
    <row r="24" ht="20.1" customHeight="1" spans="1:14">
      <c r="A24" s="47" t="s">
        <v>1406</v>
      </c>
      <c r="B24" s="47"/>
      <c r="C24" s="47"/>
      <c r="D24" s="47"/>
      <c r="E24" s="24">
        <f t="shared" si="6"/>
        <v>0</v>
      </c>
      <c r="F24" s="24">
        <f t="shared" si="7"/>
        <v>0</v>
      </c>
      <c r="G24" s="48" t="s">
        <v>1407</v>
      </c>
      <c r="H24" s="74">
        <f>SUM(H25:H27)</f>
        <v>475</v>
      </c>
      <c r="I24" s="74">
        <f t="shared" ref="I24:J24" si="22">SUM(I25:I27)</f>
        <v>46</v>
      </c>
      <c r="J24" s="74">
        <f t="shared" si="22"/>
        <v>656</v>
      </c>
      <c r="K24" s="24">
        <f t="shared" si="9"/>
        <v>138.105263157895</v>
      </c>
      <c r="L24" s="24">
        <f t="shared" si="10"/>
        <v>1426.08695652174</v>
      </c>
      <c r="M24" s="47"/>
      <c r="N24" s="74">
        <f t="shared" ref="N24" si="23">SUM(N25:N27)</f>
        <v>0</v>
      </c>
    </row>
    <row r="25" ht="20.1" customHeight="1" spans="1:14">
      <c r="A25" s="47" t="s">
        <v>1408</v>
      </c>
      <c r="B25" s="47"/>
      <c r="C25" s="47"/>
      <c r="D25" s="47"/>
      <c r="E25" s="24">
        <f t="shared" si="6"/>
        <v>0</v>
      </c>
      <c r="F25" s="24">
        <f t="shared" si="7"/>
        <v>0</v>
      </c>
      <c r="G25" s="48" t="s">
        <v>1409</v>
      </c>
      <c r="H25" s="52">
        <v>41</v>
      </c>
      <c r="I25" s="52">
        <v>42</v>
      </c>
      <c r="J25" s="52">
        <v>41</v>
      </c>
      <c r="K25" s="24">
        <f t="shared" si="9"/>
        <v>100</v>
      </c>
      <c r="L25" s="24">
        <f t="shared" si="10"/>
        <v>97.6190476190476</v>
      </c>
      <c r="M25" s="47"/>
      <c r="N25" s="52"/>
    </row>
    <row r="26" ht="20.1" customHeight="1" spans="1:14">
      <c r="A26" s="47" t="s">
        <v>1410</v>
      </c>
      <c r="B26" s="47">
        <v>175</v>
      </c>
      <c r="C26" s="47">
        <v>160</v>
      </c>
      <c r="D26" s="47">
        <v>215</v>
      </c>
      <c r="E26" s="24">
        <f t="shared" si="6"/>
        <v>122.857142857143</v>
      </c>
      <c r="F26" s="24">
        <f t="shared" si="7"/>
        <v>134.375</v>
      </c>
      <c r="G26" s="48" t="s">
        <v>1411</v>
      </c>
      <c r="H26" s="52">
        <v>434</v>
      </c>
      <c r="I26" s="52">
        <v>4</v>
      </c>
      <c r="J26" s="52">
        <f>2+613</f>
        <v>615</v>
      </c>
      <c r="K26" s="24">
        <f t="shared" si="9"/>
        <v>141.705069124424</v>
      </c>
      <c r="L26" s="24">
        <f t="shared" si="10"/>
        <v>15375</v>
      </c>
      <c r="M26" s="47"/>
      <c r="N26" s="52"/>
    </row>
    <row r="27" ht="20.1" customHeight="1" spans="1:14">
      <c r="A27" s="47" t="s">
        <v>1412</v>
      </c>
      <c r="B27" s="75">
        <f>SUM(B28:B32)</f>
        <v>0</v>
      </c>
      <c r="C27" s="75">
        <f t="shared" ref="C27:D27" si="24">SUM(C28:C32)</f>
        <v>0</v>
      </c>
      <c r="D27" s="75">
        <f t="shared" si="24"/>
        <v>0</v>
      </c>
      <c r="E27" s="24">
        <f t="shared" si="6"/>
        <v>0</v>
      </c>
      <c r="F27" s="24">
        <f t="shared" si="7"/>
        <v>0</v>
      </c>
      <c r="G27" s="48" t="s">
        <v>1413</v>
      </c>
      <c r="H27" s="52"/>
      <c r="I27" s="52"/>
      <c r="J27" s="52"/>
      <c r="K27" s="24">
        <f t="shared" si="9"/>
        <v>0</v>
      </c>
      <c r="L27" s="24">
        <f t="shared" si="10"/>
        <v>0</v>
      </c>
      <c r="M27" s="75">
        <f t="shared" ref="M27" si="25">SUM(M28:M32)</f>
        <v>0</v>
      </c>
      <c r="N27" s="52"/>
    </row>
    <row r="28" ht="20.1" customHeight="1" spans="1:14">
      <c r="A28" s="52" t="s">
        <v>1414</v>
      </c>
      <c r="B28" s="52"/>
      <c r="C28" s="52"/>
      <c r="D28" s="52"/>
      <c r="E28" s="24">
        <f t="shared" si="6"/>
        <v>0</v>
      </c>
      <c r="F28" s="24">
        <f t="shared" si="7"/>
        <v>0</v>
      </c>
      <c r="G28" s="48" t="s">
        <v>1415</v>
      </c>
      <c r="H28" s="74">
        <f>SUM(H29:H31)</f>
        <v>0</v>
      </c>
      <c r="I28" s="74">
        <f t="shared" ref="I28:J28" si="26">SUM(I29:I31)</f>
        <v>0</v>
      </c>
      <c r="J28" s="74">
        <f t="shared" si="26"/>
        <v>0</v>
      </c>
      <c r="K28" s="24">
        <f t="shared" si="9"/>
        <v>0</v>
      </c>
      <c r="L28" s="24">
        <f t="shared" si="10"/>
        <v>0</v>
      </c>
      <c r="M28" s="52"/>
      <c r="N28" s="74">
        <f t="shared" ref="N28" si="27">SUM(N29:N31)</f>
        <v>0</v>
      </c>
    </row>
    <row r="29" ht="20.1" customHeight="1" spans="1:14">
      <c r="A29" s="52" t="s">
        <v>1416</v>
      </c>
      <c r="B29" s="52"/>
      <c r="C29" s="52"/>
      <c r="D29" s="52"/>
      <c r="E29" s="24">
        <f t="shared" si="6"/>
        <v>0</v>
      </c>
      <c r="F29" s="24">
        <f t="shared" si="7"/>
        <v>0</v>
      </c>
      <c r="G29" s="48" t="s">
        <v>1409</v>
      </c>
      <c r="H29" s="52"/>
      <c r="I29" s="52"/>
      <c r="J29" s="52"/>
      <c r="K29" s="24">
        <f t="shared" si="9"/>
        <v>0</v>
      </c>
      <c r="L29" s="24">
        <f t="shared" si="10"/>
        <v>0</v>
      </c>
      <c r="M29" s="52"/>
      <c r="N29" s="52"/>
    </row>
    <row r="30" ht="20.1" customHeight="1" spans="1:14">
      <c r="A30" s="52" t="s">
        <v>1417</v>
      </c>
      <c r="B30" s="52"/>
      <c r="C30" s="52"/>
      <c r="D30" s="52"/>
      <c r="E30" s="24">
        <f t="shared" si="6"/>
        <v>0</v>
      </c>
      <c r="F30" s="24">
        <f t="shared" si="7"/>
        <v>0</v>
      </c>
      <c r="G30" s="48" t="s">
        <v>1411</v>
      </c>
      <c r="H30" s="52"/>
      <c r="I30" s="52"/>
      <c r="J30" s="52"/>
      <c r="K30" s="24">
        <f t="shared" si="9"/>
        <v>0</v>
      </c>
      <c r="L30" s="24">
        <f t="shared" si="10"/>
        <v>0</v>
      </c>
      <c r="M30" s="52"/>
      <c r="N30" s="52"/>
    </row>
    <row r="31" ht="20.1" customHeight="1" spans="1:14">
      <c r="A31" s="52" t="s">
        <v>1418</v>
      </c>
      <c r="B31" s="52"/>
      <c r="C31" s="52"/>
      <c r="D31" s="52"/>
      <c r="E31" s="24">
        <f t="shared" si="6"/>
        <v>0</v>
      </c>
      <c r="F31" s="24">
        <f t="shared" si="7"/>
        <v>0</v>
      </c>
      <c r="G31" s="50" t="s">
        <v>1419</v>
      </c>
      <c r="H31" s="52"/>
      <c r="I31" s="52"/>
      <c r="J31" s="52"/>
      <c r="K31" s="24">
        <f t="shared" si="9"/>
        <v>0</v>
      </c>
      <c r="L31" s="24">
        <f t="shared" si="10"/>
        <v>0</v>
      </c>
      <c r="M31" s="52"/>
      <c r="N31" s="52"/>
    </row>
    <row r="32" ht="20.1" customHeight="1" spans="1:14">
      <c r="A32" s="52" t="s">
        <v>1420</v>
      </c>
      <c r="B32" s="52"/>
      <c r="C32" s="52"/>
      <c r="D32" s="52"/>
      <c r="E32" s="24">
        <f t="shared" si="6"/>
        <v>0</v>
      </c>
      <c r="F32" s="24">
        <f t="shared" si="7"/>
        <v>0</v>
      </c>
      <c r="G32" s="48" t="s">
        <v>1421</v>
      </c>
      <c r="H32" s="74">
        <f>SUM(H33:H34)</f>
        <v>0</v>
      </c>
      <c r="I32" s="74">
        <f t="shared" ref="I32:J32" si="28">SUM(I33:I34)</f>
        <v>0</v>
      </c>
      <c r="J32" s="74">
        <f t="shared" si="28"/>
        <v>0</v>
      </c>
      <c r="K32" s="24">
        <f t="shared" si="9"/>
        <v>0</v>
      </c>
      <c r="L32" s="24">
        <f t="shared" si="10"/>
        <v>0</v>
      </c>
      <c r="M32" s="52"/>
      <c r="N32" s="74">
        <f t="shared" ref="N32" si="29">SUM(N33:N34)</f>
        <v>0</v>
      </c>
    </row>
    <row r="33" ht="20.1" customHeight="1" spans="1:14">
      <c r="A33" s="47" t="s">
        <v>1422</v>
      </c>
      <c r="B33" s="47"/>
      <c r="C33" s="47">
        <v>3</v>
      </c>
      <c r="D33" s="47">
        <v>40</v>
      </c>
      <c r="E33" s="24">
        <f t="shared" si="6"/>
        <v>0</v>
      </c>
      <c r="F33" s="24">
        <f t="shared" si="7"/>
        <v>1333.33333333333</v>
      </c>
      <c r="G33" s="51" t="s">
        <v>1411</v>
      </c>
      <c r="H33" s="52"/>
      <c r="I33" s="52"/>
      <c r="J33" s="52"/>
      <c r="K33" s="24">
        <f t="shared" si="9"/>
        <v>0</v>
      </c>
      <c r="L33" s="24">
        <f t="shared" si="10"/>
        <v>0</v>
      </c>
      <c r="M33" s="47"/>
      <c r="N33" s="52"/>
    </row>
    <row r="34" ht="20.1" customHeight="1" spans="1:14">
      <c r="A34" s="52" t="s">
        <v>1423</v>
      </c>
      <c r="B34" s="52">
        <v>122</v>
      </c>
      <c r="C34" s="52">
        <v>357</v>
      </c>
      <c r="D34" s="52">
        <v>107</v>
      </c>
      <c r="E34" s="24">
        <f t="shared" si="6"/>
        <v>87.7049180327869</v>
      </c>
      <c r="F34" s="24">
        <f t="shared" si="7"/>
        <v>29.9719887955182</v>
      </c>
      <c r="G34" s="51" t="s">
        <v>1424</v>
      </c>
      <c r="H34" s="52"/>
      <c r="I34" s="52"/>
      <c r="J34" s="52"/>
      <c r="K34" s="24">
        <f t="shared" si="9"/>
        <v>0</v>
      </c>
      <c r="L34" s="24">
        <f t="shared" si="10"/>
        <v>0</v>
      </c>
      <c r="M34" s="52"/>
      <c r="N34" s="52"/>
    </row>
    <row r="35" ht="20.1" customHeight="1" spans="1:14">
      <c r="A35" s="52"/>
      <c r="B35" s="52"/>
      <c r="C35" s="52"/>
      <c r="D35" s="52"/>
      <c r="E35" s="52"/>
      <c r="F35" s="52"/>
      <c r="G35" s="47" t="s">
        <v>1425</v>
      </c>
      <c r="H35" s="74">
        <f>H36+H41</f>
        <v>0</v>
      </c>
      <c r="I35" s="74">
        <f t="shared" ref="I35:J35" si="30">I36+I41</f>
        <v>0</v>
      </c>
      <c r="J35" s="74">
        <f t="shared" si="30"/>
        <v>0</v>
      </c>
      <c r="K35" s="24">
        <f t="shared" si="9"/>
        <v>0</v>
      </c>
      <c r="L35" s="24">
        <f t="shared" si="10"/>
        <v>0</v>
      </c>
      <c r="M35" s="52"/>
      <c r="N35" s="74">
        <f t="shared" ref="N35" si="31">N36+N41</f>
        <v>0</v>
      </c>
    </row>
    <row r="36" ht="20.1" customHeight="1" spans="1:14">
      <c r="A36" s="52"/>
      <c r="B36" s="52"/>
      <c r="C36" s="52"/>
      <c r="D36" s="52"/>
      <c r="E36" s="52"/>
      <c r="F36" s="52"/>
      <c r="G36" s="47" t="s">
        <v>1426</v>
      </c>
      <c r="H36" s="74">
        <f>SUM(H37:H40)</f>
        <v>0</v>
      </c>
      <c r="I36" s="74">
        <f t="shared" ref="I36:J36" si="32">SUM(I37:I40)</f>
        <v>0</v>
      </c>
      <c r="J36" s="74">
        <f t="shared" si="32"/>
        <v>0</v>
      </c>
      <c r="K36" s="24">
        <f t="shared" si="9"/>
        <v>0</v>
      </c>
      <c r="L36" s="24">
        <f t="shared" si="10"/>
        <v>0</v>
      </c>
      <c r="M36" s="52"/>
      <c r="N36" s="74">
        <f t="shared" ref="N36" si="33">SUM(N37:N40)</f>
        <v>0</v>
      </c>
    </row>
    <row r="37" ht="20.1" customHeight="1" spans="1:14">
      <c r="A37" s="52"/>
      <c r="B37" s="52"/>
      <c r="C37" s="52"/>
      <c r="D37" s="52"/>
      <c r="E37" s="52"/>
      <c r="F37" s="52"/>
      <c r="G37" s="47" t="s">
        <v>1427</v>
      </c>
      <c r="H37" s="52"/>
      <c r="I37" s="52"/>
      <c r="J37" s="52"/>
      <c r="K37" s="24">
        <f t="shared" si="9"/>
        <v>0</v>
      </c>
      <c r="L37" s="24">
        <f t="shared" si="10"/>
        <v>0</v>
      </c>
      <c r="M37" s="52"/>
      <c r="N37" s="52"/>
    </row>
    <row r="38" ht="20.1" customHeight="1" spans="1:14">
      <c r="A38" s="52"/>
      <c r="B38" s="52"/>
      <c r="C38" s="52"/>
      <c r="D38" s="52"/>
      <c r="E38" s="52"/>
      <c r="F38" s="52"/>
      <c r="G38" s="47" t="s">
        <v>1428</v>
      </c>
      <c r="H38" s="52"/>
      <c r="I38" s="52"/>
      <c r="J38" s="52"/>
      <c r="K38" s="24">
        <f t="shared" si="9"/>
        <v>0</v>
      </c>
      <c r="L38" s="24">
        <f t="shared" si="10"/>
        <v>0</v>
      </c>
      <c r="M38" s="52"/>
      <c r="N38" s="52"/>
    </row>
    <row r="39" ht="20.1" customHeight="1" spans="1:14">
      <c r="A39" s="52"/>
      <c r="B39" s="52"/>
      <c r="C39" s="52"/>
      <c r="D39" s="52"/>
      <c r="E39" s="52"/>
      <c r="F39" s="52"/>
      <c r="G39" s="47" t="s">
        <v>1429</v>
      </c>
      <c r="H39" s="52"/>
      <c r="I39" s="52"/>
      <c r="J39" s="52"/>
      <c r="K39" s="24">
        <f t="shared" si="9"/>
        <v>0</v>
      </c>
      <c r="L39" s="24">
        <f t="shared" si="10"/>
        <v>0</v>
      </c>
      <c r="M39" s="52"/>
      <c r="N39" s="52"/>
    </row>
    <row r="40" ht="20.1" customHeight="1" spans="1:14">
      <c r="A40" s="52"/>
      <c r="B40" s="52"/>
      <c r="C40" s="52"/>
      <c r="D40" s="52"/>
      <c r="E40" s="52"/>
      <c r="F40" s="52"/>
      <c r="G40" s="47" t="s">
        <v>1430</v>
      </c>
      <c r="H40" s="52"/>
      <c r="I40" s="52"/>
      <c r="J40" s="52"/>
      <c r="K40" s="24">
        <f t="shared" si="9"/>
        <v>0</v>
      </c>
      <c r="L40" s="24">
        <f t="shared" si="10"/>
        <v>0</v>
      </c>
      <c r="M40" s="52"/>
      <c r="N40" s="52"/>
    </row>
    <row r="41" ht="20.1" customHeight="1" spans="1:14">
      <c r="A41" s="52"/>
      <c r="B41" s="52"/>
      <c r="C41" s="52"/>
      <c r="D41" s="52"/>
      <c r="E41" s="52"/>
      <c r="F41" s="52"/>
      <c r="G41" s="47" t="s">
        <v>1431</v>
      </c>
      <c r="H41" s="74">
        <f>SUM(H42:H45)</f>
        <v>0</v>
      </c>
      <c r="I41" s="74">
        <f t="shared" ref="I41:J41" si="34">SUM(I42:I45)</f>
        <v>0</v>
      </c>
      <c r="J41" s="74">
        <f t="shared" si="34"/>
        <v>0</v>
      </c>
      <c r="K41" s="24">
        <f t="shared" si="9"/>
        <v>0</v>
      </c>
      <c r="L41" s="24">
        <f t="shared" si="10"/>
        <v>0</v>
      </c>
      <c r="M41" s="52"/>
      <c r="N41" s="74">
        <f t="shared" ref="N41" si="35">SUM(N42:N45)</f>
        <v>0</v>
      </c>
    </row>
    <row r="42" ht="20.1" customHeight="1" spans="1:14">
      <c r="A42" s="52"/>
      <c r="B42" s="52"/>
      <c r="C42" s="52"/>
      <c r="D42" s="52"/>
      <c r="E42" s="52"/>
      <c r="F42" s="52"/>
      <c r="G42" s="47" t="s">
        <v>1432</v>
      </c>
      <c r="H42" s="52"/>
      <c r="I42" s="52"/>
      <c r="J42" s="52"/>
      <c r="K42" s="24">
        <f t="shared" si="9"/>
        <v>0</v>
      </c>
      <c r="L42" s="24">
        <f t="shared" si="10"/>
        <v>0</v>
      </c>
      <c r="M42" s="52"/>
      <c r="N42" s="52"/>
    </row>
    <row r="43" ht="20.1" customHeight="1" spans="1:14">
      <c r="A43" s="52"/>
      <c r="B43" s="52"/>
      <c r="C43" s="52"/>
      <c r="D43" s="52"/>
      <c r="E43" s="52"/>
      <c r="F43" s="52"/>
      <c r="G43" s="47" t="s">
        <v>1433</v>
      </c>
      <c r="H43" s="52"/>
      <c r="I43" s="52"/>
      <c r="J43" s="52"/>
      <c r="K43" s="24">
        <f t="shared" si="9"/>
        <v>0</v>
      </c>
      <c r="L43" s="24">
        <f t="shared" si="10"/>
        <v>0</v>
      </c>
      <c r="M43" s="52"/>
      <c r="N43" s="52"/>
    </row>
    <row r="44" ht="20.1" customHeight="1" spans="1:14">
      <c r="A44" s="52"/>
      <c r="B44" s="52"/>
      <c r="C44" s="52"/>
      <c r="D44" s="52"/>
      <c r="E44" s="52"/>
      <c r="F44" s="52"/>
      <c r="G44" s="47" t="s">
        <v>1434</v>
      </c>
      <c r="H44" s="52"/>
      <c r="I44" s="52"/>
      <c r="J44" s="52"/>
      <c r="K44" s="24">
        <f t="shared" si="9"/>
        <v>0</v>
      </c>
      <c r="L44" s="24">
        <f t="shared" si="10"/>
        <v>0</v>
      </c>
      <c r="M44" s="52"/>
      <c r="N44" s="52"/>
    </row>
    <row r="45" ht="20.1" customHeight="1" spans="1:14">
      <c r="A45" s="52"/>
      <c r="B45" s="52"/>
      <c r="C45" s="52"/>
      <c r="D45" s="52"/>
      <c r="E45" s="52"/>
      <c r="F45" s="52"/>
      <c r="G45" s="47" t="s">
        <v>1435</v>
      </c>
      <c r="H45" s="52"/>
      <c r="I45" s="52"/>
      <c r="J45" s="52"/>
      <c r="K45" s="24">
        <f t="shared" si="9"/>
        <v>0</v>
      </c>
      <c r="L45" s="24">
        <f t="shared" si="10"/>
        <v>0</v>
      </c>
      <c r="M45" s="52"/>
      <c r="N45" s="52"/>
    </row>
    <row r="46" ht="20.1" customHeight="1" spans="1:14">
      <c r="A46" s="52"/>
      <c r="B46" s="52"/>
      <c r="C46" s="52"/>
      <c r="D46" s="52"/>
      <c r="E46" s="52"/>
      <c r="F46" s="52"/>
      <c r="G46" s="47" t="s">
        <v>1436</v>
      </c>
      <c r="H46" s="74">
        <f>H47+H63+H67+H68+H74+H78+H82+H86+H92+H95</f>
        <v>35352</v>
      </c>
      <c r="I46" s="74">
        <f t="shared" ref="I46:J46" si="36">I47+I63+I67+I68+I74+I78+I82+I86+I92+I95</f>
        <v>22205</v>
      </c>
      <c r="J46" s="74">
        <f t="shared" si="36"/>
        <v>25331</v>
      </c>
      <c r="K46" s="24">
        <f t="shared" si="9"/>
        <v>71.6536546730029</v>
      </c>
      <c r="L46" s="24">
        <f t="shared" si="10"/>
        <v>114.077910380545</v>
      </c>
      <c r="M46" s="52"/>
      <c r="N46" s="74">
        <f t="shared" ref="N46" si="37">N47+N63+N67+N68+N74+N78+N82+N86+N92+N95</f>
        <v>0</v>
      </c>
    </row>
    <row r="47" s="33" customFormat="1" ht="20.1" customHeight="1" spans="1:14">
      <c r="A47" s="76"/>
      <c r="B47" s="76"/>
      <c r="C47" s="76"/>
      <c r="D47" s="76"/>
      <c r="E47" s="76"/>
      <c r="F47" s="76"/>
      <c r="G47" s="47" t="s">
        <v>1437</v>
      </c>
      <c r="H47" s="74">
        <f>SUM(H48:H62)</f>
        <v>34570</v>
      </c>
      <c r="I47" s="74">
        <f>SUM(I48:I62)</f>
        <v>21934</v>
      </c>
      <c r="J47" s="74">
        <f>SUM(J48:J62)</f>
        <v>24479</v>
      </c>
      <c r="K47" s="24">
        <f t="shared" si="9"/>
        <v>70.8099508244142</v>
      </c>
      <c r="L47" s="24">
        <f t="shared" si="10"/>
        <v>111.602990790553</v>
      </c>
      <c r="M47" s="76"/>
      <c r="N47" s="74">
        <f t="shared" ref="N47" si="38">SUM(N48:N59)</f>
        <v>0</v>
      </c>
    </row>
    <row r="48" ht="20.1" customHeight="1" spans="1:14">
      <c r="A48" s="52"/>
      <c r="B48" s="52"/>
      <c r="C48" s="52"/>
      <c r="D48" s="52"/>
      <c r="E48" s="52"/>
      <c r="F48" s="52"/>
      <c r="G48" s="50" t="s">
        <v>1438</v>
      </c>
      <c r="H48" s="52">
        <v>2475</v>
      </c>
      <c r="I48" s="52">
        <v>325</v>
      </c>
      <c r="J48" s="52">
        <v>1800</v>
      </c>
      <c r="K48" s="24">
        <f t="shared" si="9"/>
        <v>72.7272727272727</v>
      </c>
      <c r="L48" s="24">
        <f t="shared" si="10"/>
        <v>553.846153846154</v>
      </c>
      <c r="M48" s="52"/>
      <c r="N48" s="52"/>
    </row>
    <row r="49" ht="20.1" customHeight="1" spans="1:14">
      <c r="A49" s="52"/>
      <c r="B49" s="52"/>
      <c r="C49" s="52"/>
      <c r="D49" s="52"/>
      <c r="E49" s="52"/>
      <c r="F49" s="52"/>
      <c r="G49" s="50" t="s">
        <v>1439</v>
      </c>
      <c r="H49" s="52">
        <v>5082</v>
      </c>
      <c r="I49" s="52"/>
      <c r="J49" s="52">
        <v>842</v>
      </c>
      <c r="K49" s="24">
        <f t="shared" si="9"/>
        <v>16.5682802046438</v>
      </c>
      <c r="L49" s="24">
        <f t="shared" si="10"/>
        <v>0</v>
      </c>
      <c r="M49" s="52"/>
      <c r="N49" s="52"/>
    </row>
    <row r="50" ht="20.1" customHeight="1" spans="1:14">
      <c r="A50" s="52"/>
      <c r="B50" s="52"/>
      <c r="C50" s="52"/>
      <c r="D50" s="52"/>
      <c r="E50" s="52"/>
      <c r="F50" s="52"/>
      <c r="G50" s="50" t="s">
        <v>1440</v>
      </c>
      <c r="H50" s="52">
        <v>10279</v>
      </c>
      <c r="I50" s="52">
        <v>2406</v>
      </c>
      <c r="J50" s="52">
        <v>3578</v>
      </c>
      <c r="K50" s="24">
        <f t="shared" si="9"/>
        <v>34.8088335441191</v>
      </c>
      <c r="L50" s="24">
        <f t="shared" si="10"/>
        <v>148.711554447215</v>
      </c>
      <c r="M50" s="52"/>
      <c r="N50" s="52"/>
    </row>
    <row r="51" ht="20.1" customHeight="1" spans="1:14">
      <c r="A51" s="48"/>
      <c r="B51" s="48"/>
      <c r="C51" s="48"/>
      <c r="D51" s="48"/>
      <c r="E51" s="48"/>
      <c r="F51" s="48"/>
      <c r="G51" s="50" t="s">
        <v>1441</v>
      </c>
      <c r="H51" s="52">
        <v>1374</v>
      </c>
      <c r="I51" s="52">
        <v>255</v>
      </c>
      <c r="J51" s="52">
        <v>4089</v>
      </c>
      <c r="K51" s="24">
        <f t="shared" si="9"/>
        <v>297.598253275109</v>
      </c>
      <c r="L51" s="24">
        <f t="shared" si="10"/>
        <v>1603.52941176471</v>
      </c>
      <c r="M51" s="48"/>
      <c r="N51" s="52"/>
    </row>
    <row r="52" ht="20.1" customHeight="1" spans="1:14">
      <c r="A52" s="48"/>
      <c r="B52" s="48"/>
      <c r="C52" s="48"/>
      <c r="D52" s="48"/>
      <c r="E52" s="48"/>
      <c r="F52" s="48"/>
      <c r="G52" s="50" t="s">
        <v>1442</v>
      </c>
      <c r="H52" s="52">
        <v>199</v>
      </c>
      <c r="I52" s="52">
        <v>253</v>
      </c>
      <c r="J52" s="52">
        <v>1000</v>
      </c>
      <c r="K52" s="24">
        <f t="shared" si="9"/>
        <v>502.51256281407</v>
      </c>
      <c r="L52" s="24">
        <f t="shared" si="10"/>
        <v>395.256916996047</v>
      </c>
      <c r="M52" s="48"/>
      <c r="N52" s="52"/>
    </row>
    <row r="53" ht="20.1" customHeight="1" spans="1:14">
      <c r="A53" s="48"/>
      <c r="B53" s="48"/>
      <c r="C53" s="48"/>
      <c r="D53" s="48"/>
      <c r="E53" s="48"/>
      <c r="F53" s="48"/>
      <c r="G53" s="50" t="s">
        <v>1443</v>
      </c>
      <c r="H53" s="52"/>
      <c r="I53" s="52"/>
      <c r="J53" s="52">
        <v>531</v>
      </c>
      <c r="K53" s="24">
        <f t="shared" si="9"/>
        <v>0</v>
      </c>
      <c r="L53" s="24">
        <f t="shared" si="10"/>
        <v>0</v>
      </c>
      <c r="M53" s="48"/>
      <c r="N53" s="52"/>
    </row>
    <row r="54" ht="20.1" customHeight="1" spans="1:14">
      <c r="A54" s="48"/>
      <c r="B54" s="48"/>
      <c r="C54" s="48"/>
      <c r="D54" s="48"/>
      <c r="E54" s="48"/>
      <c r="F54" s="48"/>
      <c r="G54" s="50" t="s">
        <v>1444</v>
      </c>
      <c r="H54" s="52"/>
      <c r="I54" s="52"/>
      <c r="J54" s="52"/>
      <c r="K54" s="24">
        <f t="shared" si="9"/>
        <v>0</v>
      </c>
      <c r="L54" s="24">
        <f t="shared" si="10"/>
        <v>0</v>
      </c>
      <c r="M54" s="48"/>
      <c r="N54" s="52"/>
    </row>
    <row r="55" ht="20.1" customHeight="1" spans="1:14">
      <c r="A55" s="48"/>
      <c r="B55" s="48"/>
      <c r="C55" s="48"/>
      <c r="D55" s="48"/>
      <c r="E55" s="48"/>
      <c r="F55" s="48"/>
      <c r="G55" s="50" t="s">
        <v>1445</v>
      </c>
      <c r="H55" s="52"/>
      <c r="I55" s="52"/>
      <c r="J55" s="52"/>
      <c r="K55" s="24">
        <f t="shared" si="9"/>
        <v>0</v>
      </c>
      <c r="L55" s="24">
        <f t="shared" si="10"/>
        <v>0</v>
      </c>
      <c r="M55" s="48"/>
      <c r="N55" s="52"/>
    </row>
    <row r="56" ht="20.1" customHeight="1" spans="1:14">
      <c r="A56" s="47"/>
      <c r="B56" s="47"/>
      <c r="C56" s="47"/>
      <c r="D56" s="47"/>
      <c r="E56" s="47"/>
      <c r="F56" s="47"/>
      <c r="G56" s="50" t="s">
        <v>1446</v>
      </c>
      <c r="H56" s="52"/>
      <c r="I56" s="52"/>
      <c r="J56" s="52"/>
      <c r="K56" s="24">
        <f t="shared" si="9"/>
        <v>0</v>
      </c>
      <c r="L56" s="24">
        <f t="shared" si="10"/>
        <v>0</v>
      </c>
      <c r="M56" s="47"/>
      <c r="N56" s="52"/>
    </row>
    <row r="57" ht="20.1" customHeight="1" spans="1:14">
      <c r="A57" s="47"/>
      <c r="B57" s="47"/>
      <c r="C57" s="47"/>
      <c r="D57" s="47"/>
      <c r="E57" s="47"/>
      <c r="F57" s="47"/>
      <c r="G57" s="50" t="s">
        <v>1447</v>
      </c>
      <c r="H57" s="52"/>
      <c r="I57" s="52"/>
      <c r="J57" s="52"/>
      <c r="K57" s="24">
        <f t="shared" si="9"/>
        <v>0</v>
      </c>
      <c r="L57" s="24">
        <f t="shared" si="10"/>
        <v>0</v>
      </c>
      <c r="M57" s="47"/>
      <c r="N57" s="52"/>
    </row>
    <row r="58" ht="20.1" customHeight="1" spans="1:14">
      <c r="A58" s="47"/>
      <c r="B58" s="47"/>
      <c r="C58" s="47"/>
      <c r="D58" s="47"/>
      <c r="E58" s="47"/>
      <c r="F58" s="47"/>
      <c r="G58" s="50" t="s">
        <v>924</v>
      </c>
      <c r="H58" s="52"/>
      <c r="I58" s="52"/>
      <c r="J58" s="52"/>
      <c r="K58" s="24">
        <f t="shared" si="9"/>
        <v>0</v>
      </c>
      <c r="L58" s="24">
        <f t="shared" si="10"/>
        <v>0</v>
      </c>
      <c r="M58" s="47"/>
      <c r="N58" s="52"/>
    </row>
    <row r="59" ht="20.1" customHeight="1" spans="1:14">
      <c r="A59" s="47"/>
      <c r="B59" s="47"/>
      <c r="C59" s="47"/>
      <c r="D59" s="47"/>
      <c r="E59" s="47"/>
      <c r="F59" s="47"/>
      <c r="G59" s="50" t="s">
        <v>1448</v>
      </c>
      <c r="H59" s="52">
        <v>15161</v>
      </c>
      <c r="I59" s="52">
        <v>18695</v>
      </c>
      <c r="J59" s="52">
        <f>9956+140</f>
        <v>10096</v>
      </c>
      <c r="K59" s="24">
        <f t="shared" si="9"/>
        <v>66.5919134621727</v>
      </c>
      <c r="L59" s="24">
        <f t="shared" si="10"/>
        <v>54.0037443166622</v>
      </c>
      <c r="M59" s="47"/>
      <c r="N59" s="74">
        <f t="shared" ref="N59" si="39">SUM(N60:N62)</f>
        <v>0</v>
      </c>
    </row>
    <row r="60" ht="20.1" customHeight="1" spans="1:14">
      <c r="A60" s="47"/>
      <c r="B60" s="47"/>
      <c r="C60" s="47"/>
      <c r="D60" s="47"/>
      <c r="E60" s="47"/>
      <c r="F60" s="47"/>
      <c r="G60" s="77" t="s">
        <v>1449</v>
      </c>
      <c r="H60" s="52"/>
      <c r="I60" s="52"/>
      <c r="J60" s="52">
        <v>1922</v>
      </c>
      <c r="K60" s="24">
        <f t="shared" si="9"/>
        <v>0</v>
      </c>
      <c r="L60" s="24">
        <f t="shared" si="10"/>
        <v>0</v>
      </c>
      <c r="M60" s="47"/>
      <c r="N60" s="52"/>
    </row>
    <row r="61" ht="20.1" customHeight="1" spans="1:14">
      <c r="A61" s="47"/>
      <c r="B61" s="47"/>
      <c r="C61" s="47"/>
      <c r="D61" s="47"/>
      <c r="E61" s="47"/>
      <c r="F61" s="47"/>
      <c r="G61" s="77" t="s">
        <v>1450</v>
      </c>
      <c r="H61" s="52"/>
      <c r="I61" s="52"/>
      <c r="J61" s="52">
        <v>400</v>
      </c>
      <c r="K61" s="24">
        <f t="shared" si="9"/>
        <v>0</v>
      </c>
      <c r="L61" s="24">
        <f t="shared" si="10"/>
        <v>0</v>
      </c>
      <c r="M61" s="47"/>
      <c r="N61" s="52"/>
    </row>
    <row r="62" ht="20.1" customHeight="1" spans="1:14">
      <c r="A62" s="47"/>
      <c r="B62" s="47"/>
      <c r="C62" s="47"/>
      <c r="D62" s="47"/>
      <c r="E62" s="47"/>
      <c r="F62" s="47"/>
      <c r="G62" s="77" t="s">
        <v>1451</v>
      </c>
      <c r="H62" s="52"/>
      <c r="I62" s="52"/>
      <c r="J62" s="52">
        <v>221</v>
      </c>
      <c r="K62" s="24">
        <f t="shared" si="9"/>
        <v>0</v>
      </c>
      <c r="L62" s="24">
        <f t="shared" si="10"/>
        <v>0</v>
      </c>
      <c r="M62" s="47"/>
      <c r="N62" s="52"/>
    </row>
    <row r="63" ht="20.1" customHeight="1" spans="1:14">
      <c r="A63" s="47"/>
      <c r="B63" s="47"/>
      <c r="C63" s="47"/>
      <c r="D63" s="47"/>
      <c r="E63" s="47"/>
      <c r="F63" s="47"/>
      <c r="G63" s="47" t="s">
        <v>1452</v>
      </c>
      <c r="H63" s="74">
        <f>SUM(H64:H66)</f>
        <v>160</v>
      </c>
      <c r="I63" s="74">
        <f t="shared" ref="I63:J63" si="40">SUM(I64:I66)</f>
        <v>0</v>
      </c>
      <c r="J63" s="74">
        <f t="shared" si="40"/>
        <v>210</v>
      </c>
      <c r="K63" s="24">
        <f t="shared" si="9"/>
        <v>131.25</v>
      </c>
      <c r="L63" s="24">
        <f t="shared" si="10"/>
        <v>0</v>
      </c>
      <c r="M63" s="47"/>
      <c r="N63" s="74">
        <f t="shared" ref="N63" si="41">SUM(N64:N66)</f>
        <v>0</v>
      </c>
    </row>
    <row r="64" ht="20.1" customHeight="1" spans="1:14">
      <c r="A64" s="47"/>
      <c r="B64" s="47"/>
      <c r="C64" s="47"/>
      <c r="D64" s="47"/>
      <c r="E64" s="47"/>
      <c r="F64" s="47"/>
      <c r="G64" s="50" t="s">
        <v>1438</v>
      </c>
      <c r="H64" s="52"/>
      <c r="I64" s="52"/>
      <c r="J64" s="52">
        <v>100</v>
      </c>
      <c r="K64" s="24">
        <f t="shared" si="9"/>
        <v>0</v>
      </c>
      <c r="L64" s="24">
        <f t="shared" si="10"/>
        <v>0</v>
      </c>
      <c r="M64" s="47"/>
      <c r="N64" s="52"/>
    </row>
    <row r="65" ht="20.1" customHeight="1" spans="1:14">
      <c r="A65" s="47"/>
      <c r="B65" s="47"/>
      <c r="C65" s="47"/>
      <c r="D65" s="47"/>
      <c r="E65" s="47"/>
      <c r="F65" s="47"/>
      <c r="G65" s="50" t="s">
        <v>1439</v>
      </c>
      <c r="H65" s="52"/>
      <c r="I65" s="52"/>
      <c r="J65" s="52">
        <v>50</v>
      </c>
      <c r="K65" s="24">
        <f t="shared" si="9"/>
        <v>0</v>
      </c>
      <c r="L65" s="24">
        <f t="shared" si="10"/>
        <v>0</v>
      </c>
      <c r="M65" s="47"/>
      <c r="N65" s="52"/>
    </row>
    <row r="66" ht="20.1" customHeight="1" spans="1:14">
      <c r="A66" s="47"/>
      <c r="B66" s="47"/>
      <c r="C66" s="47"/>
      <c r="D66" s="47"/>
      <c r="E66" s="47"/>
      <c r="F66" s="47"/>
      <c r="G66" s="50" t="s">
        <v>1453</v>
      </c>
      <c r="H66" s="52">
        <v>160</v>
      </c>
      <c r="I66" s="52"/>
      <c r="J66" s="52">
        <v>60</v>
      </c>
      <c r="K66" s="24">
        <f t="shared" si="9"/>
        <v>37.5</v>
      </c>
      <c r="L66" s="24">
        <f t="shared" si="10"/>
        <v>0</v>
      </c>
      <c r="M66" s="47"/>
      <c r="N66" s="52"/>
    </row>
    <row r="67" ht="20.1" customHeight="1" spans="1:14">
      <c r="A67" s="47"/>
      <c r="B67" s="47"/>
      <c r="C67" s="47"/>
      <c r="D67" s="47"/>
      <c r="E67" s="47"/>
      <c r="F67" s="47"/>
      <c r="G67" s="47" t="s">
        <v>1454</v>
      </c>
      <c r="H67" s="52">
        <v>122</v>
      </c>
      <c r="I67" s="52"/>
      <c r="J67" s="52">
        <v>122</v>
      </c>
      <c r="K67" s="24">
        <f t="shared" si="9"/>
        <v>100</v>
      </c>
      <c r="L67" s="24">
        <f t="shared" si="10"/>
        <v>0</v>
      </c>
      <c r="M67" s="47"/>
      <c r="N67" s="52"/>
    </row>
    <row r="68" ht="20.1" customHeight="1" spans="1:14">
      <c r="A68" s="47"/>
      <c r="B68" s="47"/>
      <c r="C68" s="47"/>
      <c r="D68" s="47"/>
      <c r="E68" s="47"/>
      <c r="F68" s="47"/>
      <c r="G68" s="47" t="s">
        <v>1455</v>
      </c>
      <c r="H68" s="74">
        <f>SUM(H69:H73)</f>
        <v>200</v>
      </c>
      <c r="I68" s="74">
        <f t="shared" ref="I68:J68" si="42">SUM(I69:I73)</f>
        <v>71</v>
      </c>
      <c r="J68" s="74">
        <f t="shared" si="42"/>
        <v>220</v>
      </c>
      <c r="K68" s="24">
        <f t="shared" si="9"/>
        <v>110</v>
      </c>
      <c r="L68" s="24">
        <f t="shared" si="10"/>
        <v>309.859154929577</v>
      </c>
      <c r="M68" s="47"/>
      <c r="N68" s="74">
        <f t="shared" ref="N68" si="43">SUM(N69:N73)</f>
        <v>0</v>
      </c>
    </row>
    <row r="69" ht="20.1" customHeight="1" spans="1:14">
      <c r="A69" s="47"/>
      <c r="B69" s="47"/>
      <c r="C69" s="47"/>
      <c r="D69" s="47"/>
      <c r="E69" s="47"/>
      <c r="F69" s="47"/>
      <c r="G69" s="50" t="s">
        <v>1456</v>
      </c>
      <c r="H69" s="52"/>
      <c r="I69" s="52"/>
      <c r="J69" s="52"/>
      <c r="K69" s="24">
        <f t="shared" si="9"/>
        <v>0</v>
      </c>
      <c r="L69" s="24">
        <f t="shared" si="10"/>
        <v>0</v>
      </c>
      <c r="M69" s="47"/>
      <c r="N69" s="52"/>
    </row>
    <row r="70" ht="20.1" customHeight="1" spans="1:14">
      <c r="A70" s="47"/>
      <c r="B70" s="47"/>
      <c r="C70" s="47"/>
      <c r="D70" s="47"/>
      <c r="E70" s="47"/>
      <c r="F70" s="47"/>
      <c r="G70" s="50" t="s">
        <v>1457</v>
      </c>
      <c r="H70" s="52"/>
      <c r="I70" s="52"/>
      <c r="J70" s="52">
        <v>220</v>
      </c>
      <c r="K70" s="24">
        <f t="shared" si="9"/>
        <v>0</v>
      </c>
      <c r="L70" s="24">
        <f t="shared" si="10"/>
        <v>0</v>
      </c>
      <c r="M70" s="47"/>
      <c r="N70" s="52"/>
    </row>
    <row r="71" ht="20.1" customHeight="1" spans="1:14">
      <c r="A71" s="47"/>
      <c r="B71" s="47"/>
      <c r="C71" s="47"/>
      <c r="D71" s="47"/>
      <c r="E71" s="47"/>
      <c r="F71" s="47"/>
      <c r="G71" s="50" t="s">
        <v>1458</v>
      </c>
      <c r="H71" s="52"/>
      <c r="I71" s="52"/>
      <c r="J71" s="52"/>
      <c r="K71" s="24">
        <f t="shared" si="9"/>
        <v>0</v>
      </c>
      <c r="L71" s="24">
        <f t="shared" si="10"/>
        <v>0</v>
      </c>
      <c r="M71" s="47"/>
      <c r="N71" s="52"/>
    </row>
    <row r="72" ht="20.1" customHeight="1" spans="1:14">
      <c r="A72" s="47"/>
      <c r="B72" s="47"/>
      <c r="C72" s="47"/>
      <c r="D72" s="47"/>
      <c r="E72" s="47"/>
      <c r="F72" s="47"/>
      <c r="G72" s="50" t="s">
        <v>1459</v>
      </c>
      <c r="H72" s="52"/>
      <c r="I72" s="52"/>
      <c r="J72" s="52"/>
      <c r="K72" s="24">
        <f t="shared" ref="K72:K135" si="44">IF(H72&gt;0,J72/H72*100,)</f>
        <v>0</v>
      </c>
      <c r="L72" s="24">
        <f t="shared" ref="L72:L135" si="45">IF(I72&gt;0,J72/I72*100,)</f>
        <v>0</v>
      </c>
      <c r="M72" s="47"/>
      <c r="N72" s="52"/>
    </row>
    <row r="73" ht="20.1" customHeight="1" spans="1:14">
      <c r="A73" s="47"/>
      <c r="B73" s="47"/>
      <c r="C73" s="47"/>
      <c r="D73" s="47"/>
      <c r="E73" s="47"/>
      <c r="F73" s="47"/>
      <c r="G73" s="50" t="s">
        <v>1460</v>
      </c>
      <c r="H73" s="52">
        <v>200</v>
      </c>
      <c r="I73" s="52">
        <v>71</v>
      </c>
      <c r="J73" s="52"/>
      <c r="K73" s="24">
        <f t="shared" si="44"/>
        <v>0</v>
      </c>
      <c r="L73" s="24">
        <f t="shared" si="45"/>
        <v>0</v>
      </c>
      <c r="M73" s="47"/>
      <c r="N73" s="52"/>
    </row>
    <row r="74" ht="20.1" customHeight="1" spans="1:14">
      <c r="A74" s="47"/>
      <c r="B74" s="47"/>
      <c r="C74" s="47"/>
      <c r="D74" s="47"/>
      <c r="E74" s="47"/>
      <c r="F74" s="47"/>
      <c r="G74" s="47" t="s">
        <v>1461</v>
      </c>
      <c r="H74" s="74">
        <f>SUM(H75:H77)</f>
        <v>300</v>
      </c>
      <c r="I74" s="74">
        <f t="shared" ref="I74:J74" si="46">SUM(I75:I77)</f>
        <v>200</v>
      </c>
      <c r="J74" s="74">
        <f t="shared" si="46"/>
        <v>300</v>
      </c>
      <c r="K74" s="24">
        <f t="shared" si="44"/>
        <v>100</v>
      </c>
      <c r="L74" s="24">
        <f t="shared" si="45"/>
        <v>150</v>
      </c>
      <c r="M74" s="47"/>
      <c r="N74" s="74">
        <f t="shared" ref="N74" si="47">SUM(N75:N77)</f>
        <v>0</v>
      </c>
    </row>
    <row r="75" ht="20.1" customHeight="1" spans="1:14">
      <c r="A75" s="47"/>
      <c r="B75" s="47"/>
      <c r="C75" s="47"/>
      <c r="D75" s="47"/>
      <c r="E75" s="47"/>
      <c r="F75" s="47"/>
      <c r="G75" s="47" t="s">
        <v>1462</v>
      </c>
      <c r="H75" s="52">
        <v>145</v>
      </c>
      <c r="I75" s="52">
        <v>200</v>
      </c>
      <c r="J75" s="52">
        <v>270</v>
      </c>
      <c r="K75" s="24">
        <f t="shared" si="44"/>
        <v>186.206896551724</v>
      </c>
      <c r="L75" s="24">
        <f t="shared" si="45"/>
        <v>135</v>
      </c>
      <c r="M75" s="47"/>
      <c r="N75" s="52"/>
    </row>
    <row r="76" ht="20.1" customHeight="1" spans="1:14">
      <c r="A76" s="47"/>
      <c r="B76" s="47"/>
      <c r="C76" s="47"/>
      <c r="D76" s="47"/>
      <c r="E76" s="47"/>
      <c r="F76" s="47"/>
      <c r="G76" s="47" t="s">
        <v>1463</v>
      </c>
      <c r="H76" s="52">
        <v>30</v>
      </c>
      <c r="I76" s="52"/>
      <c r="J76" s="52">
        <v>30</v>
      </c>
      <c r="K76" s="24">
        <f t="shared" si="44"/>
        <v>100</v>
      </c>
      <c r="L76" s="24">
        <f t="shared" si="45"/>
        <v>0</v>
      </c>
      <c r="M76" s="47"/>
      <c r="N76" s="52"/>
    </row>
    <row r="77" ht="20.1" customHeight="1" spans="1:14">
      <c r="A77" s="47"/>
      <c r="B77" s="47"/>
      <c r="C77" s="47"/>
      <c r="D77" s="47"/>
      <c r="E77" s="47"/>
      <c r="F77" s="47"/>
      <c r="G77" s="47" t="s">
        <v>1464</v>
      </c>
      <c r="H77" s="52">
        <v>125</v>
      </c>
      <c r="I77" s="52"/>
      <c r="J77" s="52"/>
      <c r="K77" s="24">
        <f t="shared" si="44"/>
        <v>0</v>
      </c>
      <c r="L77" s="24">
        <f t="shared" si="45"/>
        <v>0</v>
      </c>
      <c r="M77" s="47"/>
      <c r="N77" s="52"/>
    </row>
    <row r="78" ht="20.1" customHeight="1" spans="1:14">
      <c r="A78" s="47"/>
      <c r="B78" s="47"/>
      <c r="C78" s="47"/>
      <c r="D78" s="47"/>
      <c r="E78" s="47"/>
      <c r="F78" s="47"/>
      <c r="G78" s="47" t="s">
        <v>1465</v>
      </c>
      <c r="H78" s="74">
        <f>SUM(H79:H81)</f>
        <v>0</v>
      </c>
      <c r="I78" s="74">
        <f t="shared" ref="I78:J78" si="48">SUM(I79:I81)</f>
        <v>0</v>
      </c>
      <c r="J78" s="74">
        <f t="shared" si="48"/>
        <v>0</v>
      </c>
      <c r="K78" s="24">
        <f t="shared" si="44"/>
        <v>0</v>
      </c>
      <c r="L78" s="24">
        <f t="shared" si="45"/>
        <v>0</v>
      </c>
      <c r="M78" s="47"/>
      <c r="N78" s="74">
        <f t="shared" ref="N78" si="49">SUM(N79:N81)</f>
        <v>0</v>
      </c>
    </row>
    <row r="79" ht="20.1" customHeight="1" spans="1:14">
      <c r="A79" s="47"/>
      <c r="B79" s="47"/>
      <c r="C79" s="47"/>
      <c r="D79" s="47"/>
      <c r="E79" s="47"/>
      <c r="F79" s="47"/>
      <c r="G79" s="51" t="s">
        <v>1438</v>
      </c>
      <c r="H79" s="52"/>
      <c r="I79" s="52"/>
      <c r="J79" s="52"/>
      <c r="K79" s="24">
        <f t="shared" si="44"/>
        <v>0</v>
      </c>
      <c r="L79" s="24">
        <f t="shared" si="45"/>
        <v>0</v>
      </c>
      <c r="M79" s="47"/>
      <c r="N79" s="52"/>
    </row>
    <row r="80" ht="20.1" customHeight="1" spans="1:14">
      <c r="A80" s="47"/>
      <c r="B80" s="47"/>
      <c r="C80" s="47"/>
      <c r="D80" s="47"/>
      <c r="E80" s="47"/>
      <c r="F80" s="47"/>
      <c r="G80" s="51" t="s">
        <v>1439</v>
      </c>
      <c r="H80" s="52"/>
      <c r="I80" s="52"/>
      <c r="J80" s="52"/>
      <c r="K80" s="24">
        <f t="shared" si="44"/>
        <v>0</v>
      </c>
      <c r="L80" s="24">
        <f t="shared" si="45"/>
        <v>0</v>
      </c>
      <c r="M80" s="47"/>
      <c r="N80" s="52"/>
    </row>
    <row r="81" ht="20.1" customHeight="1" spans="1:14">
      <c r="A81" s="47"/>
      <c r="B81" s="47"/>
      <c r="C81" s="47"/>
      <c r="D81" s="47"/>
      <c r="E81" s="47"/>
      <c r="F81" s="47"/>
      <c r="G81" s="51" t="s">
        <v>1466</v>
      </c>
      <c r="H81" s="52"/>
      <c r="I81" s="52"/>
      <c r="J81" s="52"/>
      <c r="K81" s="24">
        <f t="shared" si="44"/>
        <v>0</v>
      </c>
      <c r="L81" s="24">
        <f t="shared" si="45"/>
        <v>0</v>
      </c>
      <c r="M81" s="47"/>
      <c r="N81" s="52"/>
    </row>
    <row r="82" ht="20.1" customHeight="1" spans="1:14">
      <c r="A82" s="47"/>
      <c r="B82" s="47"/>
      <c r="C82" s="47"/>
      <c r="D82" s="47"/>
      <c r="E82" s="47"/>
      <c r="F82" s="47"/>
      <c r="G82" s="47" t="s">
        <v>1467</v>
      </c>
      <c r="H82" s="74">
        <f>SUM(H83:H85)</f>
        <v>0</v>
      </c>
      <c r="I82" s="74">
        <f t="shared" ref="I82:J82" si="50">SUM(I83:I85)</f>
        <v>0</v>
      </c>
      <c r="J82" s="74">
        <f t="shared" si="50"/>
        <v>0</v>
      </c>
      <c r="K82" s="24">
        <f t="shared" si="44"/>
        <v>0</v>
      </c>
      <c r="L82" s="24">
        <f t="shared" si="45"/>
        <v>0</v>
      </c>
      <c r="M82" s="47"/>
      <c r="N82" s="74">
        <f t="shared" ref="N82" si="51">SUM(N83:N85)</f>
        <v>0</v>
      </c>
    </row>
    <row r="83" ht="20.1" customHeight="1" spans="1:14">
      <c r="A83" s="47"/>
      <c r="B83" s="47"/>
      <c r="C83" s="47"/>
      <c r="D83" s="47"/>
      <c r="E83" s="47"/>
      <c r="F83" s="47"/>
      <c r="G83" s="51" t="s">
        <v>1438</v>
      </c>
      <c r="H83" s="52"/>
      <c r="I83" s="52"/>
      <c r="J83" s="52"/>
      <c r="K83" s="24">
        <f t="shared" si="44"/>
        <v>0</v>
      </c>
      <c r="L83" s="24">
        <f t="shared" si="45"/>
        <v>0</v>
      </c>
      <c r="M83" s="47"/>
      <c r="N83" s="52"/>
    </row>
    <row r="84" ht="20.1" customHeight="1" spans="1:14">
      <c r="A84" s="47"/>
      <c r="B84" s="47"/>
      <c r="C84" s="47"/>
      <c r="D84" s="47"/>
      <c r="E84" s="47"/>
      <c r="F84" s="47"/>
      <c r="G84" s="51" t="s">
        <v>1439</v>
      </c>
      <c r="H84" s="52"/>
      <c r="I84" s="52"/>
      <c r="J84" s="52"/>
      <c r="K84" s="24">
        <f t="shared" si="44"/>
        <v>0</v>
      </c>
      <c r="L84" s="24">
        <f t="shared" si="45"/>
        <v>0</v>
      </c>
      <c r="M84" s="47"/>
      <c r="N84" s="52"/>
    </row>
    <row r="85" ht="20.1" customHeight="1" spans="1:14">
      <c r="A85" s="47"/>
      <c r="B85" s="47"/>
      <c r="C85" s="47"/>
      <c r="D85" s="47"/>
      <c r="E85" s="47"/>
      <c r="F85" s="47"/>
      <c r="G85" s="51" t="s">
        <v>1468</v>
      </c>
      <c r="H85" s="52"/>
      <c r="I85" s="52"/>
      <c r="J85" s="52"/>
      <c r="K85" s="24">
        <f t="shared" si="44"/>
        <v>0</v>
      </c>
      <c r="L85" s="24">
        <f t="shared" si="45"/>
        <v>0</v>
      </c>
      <c r="M85" s="47"/>
      <c r="N85" s="52"/>
    </row>
    <row r="86" ht="20.1" customHeight="1" spans="1:14">
      <c r="A86" s="47"/>
      <c r="B86" s="47"/>
      <c r="C86" s="47"/>
      <c r="D86" s="47"/>
      <c r="E86" s="47"/>
      <c r="F86" s="47"/>
      <c r="G86" s="47" t="s">
        <v>1469</v>
      </c>
      <c r="H86" s="74">
        <f>SUM(H87:H91)</f>
        <v>0</v>
      </c>
      <c r="I86" s="74">
        <f t="shared" ref="I86:J86" si="52">SUM(I87:I91)</f>
        <v>0</v>
      </c>
      <c r="J86" s="74">
        <f t="shared" si="52"/>
        <v>0</v>
      </c>
      <c r="K86" s="24">
        <f t="shared" si="44"/>
        <v>0</v>
      </c>
      <c r="L86" s="24">
        <f t="shared" si="45"/>
        <v>0</v>
      </c>
      <c r="M86" s="47"/>
      <c r="N86" s="74">
        <f t="shared" ref="N86" si="53">SUM(N87:N91)</f>
        <v>0</v>
      </c>
    </row>
    <row r="87" ht="20.1" customHeight="1" spans="1:14">
      <c r="A87" s="47"/>
      <c r="B87" s="47"/>
      <c r="C87" s="47"/>
      <c r="D87" s="47"/>
      <c r="E87" s="47"/>
      <c r="F87" s="47"/>
      <c r="G87" s="51" t="s">
        <v>1456</v>
      </c>
      <c r="H87" s="52"/>
      <c r="I87" s="52"/>
      <c r="J87" s="52"/>
      <c r="K87" s="24">
        <f t="shared" si="44"/>
        <v>0</v>
      </c>
      <c r="L87" s="24">
        <f t="shared" si="45"/>
        <v>0</v>
      </c>
      <c r="M87" s="47"/>
      <c r="N87" s="52"/>
    </row>
    <row r="88" ht="20.1" customHeight="1" spans="1:14">
      <c r="A88" s="47"/>
      <c r="B88" s="47"/>
      <c r="C88" s="47"/>
      <c r="D88" s="47"/>
      <c r="E88" s="47"/>
      <c r="F88" s="47"/>
      <c r="G88" s="51" t="s">
        <v>1457</v>
      </c>
      <c r="H88" s="52"/>
      <c r="I88" s="52"/>
      <c r="J88" s="52"/>
      <c r="K88" s="24">
        <f t="shared" si="44"/>
        <v>0</v>
      </c>
      <c r="L88" s="24">
        <f t="shared" si="45"/>
        <v>0</v>
      </c>
      <c r="M88" s="47"/>
      <c r="N88" s="52"/>
    </row>
    <row r="89" ht="20.1" customHeight="1" spans="1:14">
      <c r="A89" s="47"/>
      <c r="B89" s="47"/>
      <c r="C89" s="47"/>
      <c r="D89" s="47"/>
      <c r="E89" s="47"/>
      <c r="F89" s="47"/>
      <c r="G89" s="51" t="s">
        <v>1458</v>
      </c>
      <c r="H89" s="52"/>
      <c r="I89" s="52"/>
      <c r="J89" s="52"/>
      <c r="K89" s="24">
        <f t="shared" si="44"/>
        <v>0</v>
      </c>
      <c r="L89" s="24">
        <f t="shared" si="45"/>
        <v>0</v>
      </c>
      <c r="M89" s="47"/>
      <c r="N89" s="52"/>
    </row>
    <row r="90" ht="20.1" customHeight="1" spans="1:14">
      <c r="A90" s="47"/>
      <c r="B90" s="47"/>
      <c r="C90" s="47"/>
      <c r="D90" s="47"/>
      <c r="E90" s="47"/>
      <c r="F90" s="47"/>
      <c r="G90" s="51" t="s">
        <v>1459</v>
      </c>
      <c r="H90" s="52"/>
      <c r="I90" s="52"/>
      <c r="J90" s="52"/>
      <c r="K90" s="24">
        <f t="shared" si="44"/>
        <v>0</v>
      </c>
      <c r="L90" s="24">
        <f t="shared" si="45"/>
        <v>0</v>
      </c>
      <c r="M90" s="47"/>
      <c r="N90" s="52"/>
    </row>
    <row r="91" ht="20.1" customHeight="1" spans="1:14">
      <c r="A91" s="47"/>
      <c r="B91" s="47"/>
      <c r="C91" s="47"/>
      <c r="D91" s="47"/>
      <c r="E91" s="47"/>
      <c r="F91" s="47"/>
      <c r="G91" s="51" t="s">
        <v>1470</v>
      </c>
      <c r="H91" s="52"/>
      <c r="I91" s="52"/>
      <c r="J91" s="52"/>
      <c r="K91" s="24">
        <f t="shared" si="44"/>
        <v>0</v>
      </c>
      <c r="L91" s="24">
        <f t="shared" si="45"/>
        <v>0</v>
      </c>
      <c r="M91" s="47"/>
      <c r="N91" s="52"/>
    </row>
    <row r="92" ht="20.1" customHeight="1" spans="1:14">
      <c r="A92" s="47"/>
      <c r="B92" s="47"/>
      <c r="C92" s="47"/>
      <c r="D92" s="47"/>
      <c r="E92" s="47"/>
      <c r="F92" s="47"/>
      <c r="G92" s="47" t="s">
        <v>1471</v>
      </c>
      <c r="H92" s="74">
        <f>SUM(H93:H94)</f>
        <v>0</v>
      </c>
      <c r="I92" s="74">
        <f t="shared" ref="I92:J92" si="54">SUM(I93:I94)</f>
        <v>0</v>
      </c>
      <c r="J92" s="74">
        <f t="shared" si="54"/>
        <v>0</v>
      </c>
      <c r="K92" s="24">
        <f t="shared" si="44"/>
        <v>0</v>
      </c>
      <c r="L92" s="24">
        <f t="shared" si="45"/>
        <v>0</v>
      </c>
      <c r="M92" s="47"/>
      <c r="N92" s="74">
        <f t="shared" ref="N92" si="55">SUM(N93:N94)</f>
        <v>0</v>
      </c>
    </row>
    <row r="93" ht="20.1" customHeight="1" spans="1:14">
      <c r="A93" s="47"/>
      <c r="B93" s="47"/>
      <c r="C93" s="47"/>
      <c r="D93" s="47"/>
      <c r="E93" s="47"/>
      <c r="F93" s="47"/>
      <c r="G93" s="51" t="s">
        <v>1462</v>
      </c>
      <c r="H93" s="52"/>
      <c r="I93" s="52"/>
      <c r="J93" s="52"/>
      <c r="K93" s="24">
        <f t="shared" si="44"/>
        <v>0</v>
      </c>
      <c r="L93" s="24">
        <f t="shared" si="45"/>
        <v>0</v>
      </c>
      <c r="M93" s="47"/>
      <c r="N93" s="52"/>
    </row>
    <row r="94" ht="20.1" customHeight="1" spans="1:14">
      <c r="A94" s="47"/>
      <c r="B94" s="47"/>
      <c r="C94" s="47"/>
      <c r="D94" s="47"/>
      <c r="E94" s="47"/>
      <c r="F94" s="47"/>
      <c r="G94" s="51" t="s">
        <v>1472</v>
      </c>
      <c r="H94" s="52"/>
      <c r="I94" s="52"/>
      <c r="J94" s="52"/>
      <c r="K94" s="24">
        <f t="shared" si="44"/>
        <v>0</v>
      </c>
      <c r="L94" s="24">
        <f t="shared" si="45"/>
        <v>0</v>
      </c>
      <c r="M94" s="47"/>
      <c r="N94" s="52"/>
    </row>
    <row r="95" ht="20.1" customHeight="1" spans="1:14">
      <c r="A95" s="47"/>
      <c r="B95" s="47"/>
      <c r="C95" s="47"/>
      <c r="D95" s="47"/>
      <c r="E95" s="47"/>
      <c r="F95" s="47"/>
      <c r="G95" s="51" t="s">
        <v>1473</v>
      </c>
      <c r="H95" s="74">
        <f>SUM(H96:H103)</f>
        <v>0</v>
      </c>
      <c r="I95" s="74">
        <f t="shared" ref="I95:J95" si="56">SUM(I96:I103)</f>
        <v>0</v>
      </c>
      <c r="J95" s="74">
        <f t="shared" si="56"/>
        <v>0</v>
      </c>
      <c r="K95" s="24">
        <f t="shared" si="44"/>
        <v>0</v>
      </c>
      <c r="L95" s="24">
        <f t="shared" si="45"/>
        <v>0</v>
      </c>
      <c r="M95" s="47"/>
      <c r="N95" s="74">
        <f t="shared" ref="N95" si="57">SUM(N96:N103)</f>
        <v>0</v>
      </c>
    </row>
    <row r="96" ht="20.1" customHeight="1" spans="1:14">
      <c r="A96" s="47"/>
      <c r="B96" s="47"/>
      <c r="C96" s="47"/>
      <c r="D96" s="47"/>
      <c r="E96" s="47"/>
      <c r="F96" s="47"/>
      <c r="G96" s="51" t="s">
        <v>1438</v>
      </c>
      <c r="H96" s="52"/>
      <c r="I96" s="52"/>
      <c r="J96" s="52"/>
      <c r="K96" s="24">
        <f t="shared" si="44"/>
        <v>0</v>
      </c>
      <c r="L96" s="24">
        <f t="shared" si="45"/>
        <v>0</v>
      </c>
      <c r="M96" s="47"/>
      <c r="N96" s="52"/>
    </row>
    <row r="97" ht="20.1" customHeight="1" spans="1:14">
      <c r="A97" s="47"/>
      <c r="B97" s="47"/>
      <c r="C97" s="47"/>
      <c r="D97" s="47"/>
      <c r="E97" s="47"/>
      <c r="F97" s="47"/>
      <c r="G97" s="51" t="s">
        <v>1439</v>
      </c>
      <c r="H97" s="52"/>
      <c r="I97" s="52"/>
      <c r="J97" s="52"/>
      <c r="K97" s="24">
        <f t="shared" si="44"/>
        <v>0</v>
      </c>
      <c r="L97" s="24">
        <f t="shared" si="45"/>
        <v>0</v>
      </c>
      <c r="M97" s="47"/>
      <c r="N97" s="52"/>
    </row>
    <row r="98" ht="20.1" customHeight="1" spans="1:14">
      <c r="A98" s="47"/>
      <c r="B98" s="47"/>
      <c r="C98" s="47"/>
      <c r="D98" s="47"/>
      <c r="E98" s="47"/>
      <c r="F98" s="47"/>
      <c r="G98" s="51" t="s">
        <v>1440</v>
      </c>
      <c r="H98" s="52"/>
      <c r="I98" s="52"/>
      <c r="J98" s="52"/>
      <c r="K98" s="24">
        <f t="shared" si="44"/>
        <v>0</v>
      </c>
      <c r="L98" s="24">
        <f t="shared" si="45"/>
        <v>0</v>
      </c>
      <c r="M98" s="47"/>
      <c r="N98" s="52"/>
    </row>
    <row r="99" ht="20.1" customHeight="1" spans="1:14">
      <c r="A99" s="47"/>
      <c r="B99" s="47"/>
      <c r="C99" s="47"/>
      <c r="D99" s="47"/>
      <c r="E99" s="47"/>
      <c r="F99" s="47"/>
      <c r="G99" s="51" t="s">
        <v>1441</v>
      </c>
      <c r="H99" s="52"/>
      <c r="I99" s="52"/>
      <c r="J99" s="52"/>
      <c r="K99" s="24">
        <f t="shared" si="44"/>
        <v>0</v>
      </c>
      <c r="L99" s="24">
        <f t="shared" si="45"/>
        <v>0</v>
      </c>
      <c r="M99" s="47"/>
      <c r="N99" s="52"/>
    </row>
    <row r="100" ht="20.1" customHeight="1" spans="1:14">
      <c r="A100" s="47"/>
      <c r="B100" s="47"/>
      <c r="C100" s="47"/>
      <c r="D100" s="47"/>
      <c r="E100" s="47"/>
      <c r="F100" s="47"/>
      <c r="G100" s="51" t="s">
        <v>1444</v>
      </c>
      <c r="H100" s="52"/>
      <c r="I100" s="52"/>
      <c r="J100" s="52"/>
      <c r="K100" s="24">
        <f t="shared" si="44"/>
        <v>0</v>
      </c>
      <c r="L100" s="24">
        <f t="shared" si="45"/>
        <v>0</v>
      </c>
      <c r="M100" s="47"/>
      <c r="N100" s="52"/>
    </row>
    <row r="101" ht="20.1" customHeight="1" spans="1:14">
      <c r="A101" s="47"/>
      <c r="B101" s="47"/>
      <c r="C101" s="47"/>
      <c r="D101" s="47"/>
      <c r="E101" s="47"/>
      <c r="F101" s="47"/>
      <c r="G101" s="51" t="s">
        <v>1446</v>
      </c>
      <c r="H101" s="52"/>
      <c r="I101" s="52"/>
      <c r="J101" s="52"/>
      <c r="K101" s="24">
        <f t="shared" si="44"/>
        <v>0</v>
      </c>
      <c r="L101" s="24">
        <f t="shared" si="45"/>
        <v>0</v>
      </c>
      <c r="M101" s="47"/>
      <c r="N101" s="52"/>
    </row>
    <row r="102" ht="20.1" customHeight="1" spans="1:14">
      <c r="A102" s="47"/>
      <c r="B102" s="47"/>
      <c r="C102" s="47"/>
      <c r="D102" s="47"/>
      <c r="E102" s="47"/>
      <c r="F102" s="47"/>
      <c r="G102" s="51" t="s">
        <v>1447</v>
      </c>
      <c r="H102" s="52"/>
      <c r="I102" s="52"/>
      <c r="J102" s="52"/>
      <c r="K102" s="24">
        <f t="shared" si="44"/>
        <v>0</v>
      </c>
      <c r="L102" s="24">
        <f t="shared" si="45"/>
        <v>0</v>
      </c>
      <c r="M102" s="47"/>
      <c r="N102" s="52"/>
    </row>
    <row r="103" ht="20.1" customHeight="1" spans="1:14">
      <c r="A103" s="47"/>
      <c r="B103" s="47"/>
      <c r="C103" s="47"/>
      <c r="D103" s="47"/>
      <c r="E103" s="47"/>
      <c r="F103" s="47"/>
      <c r="G103" s="51" t="s">
        <v>1474</v>
      </c>
      <c r="H103" s="52"/>
      <c r="I103" s="52"/>
      <c r="J103" s="52"/>
      <c r="K103" s="24">
        <f t="shared" si="44"/>
        <v>0</v>
      </c>
      <c r="L103" s="24">
        <f t="shared" si="45"/>
        <v>0</v>
      </c>
      <c r="M103" s="47"/>
      <c r="N103" s="52"/>
    </row>
    <row r="104" ht="20.1" customHeight="1" spans="1:14">
      <c r="A104" s="47"/>
      <c r="B104" s="47"/>
      <c r="C104" s="47"/>
      <c r="D104" s="47"/>
      <c r="E104" s="47"/>
      <c r="F104" s="47"/>
      <c r="G104" s="47" t="s">
        <v>1475</v>
      </c>
      <c r="H104" s="74">
        <f>H105+H110+H115</f>
        <v>36</v>
      </c>
      <c r="I104" s="74">
        <f t="shared" ref="I104:J104" si="58">I105+I110+I115</f>
        <v>0</v>
      </c>
      <c r="J104" s="74">
        <f t="shared" si="58"/>
        <v>143</v>
      </c>
      <c r="K104" s="24">
        <f t="shared" si="44"/>
        <v>397.222222222222</v>
      </c>
      <c r="L104" s="24">
        <f t="shared" si="45"/>
        <v>0</v>
      </c>
      <c r="M104" s="47"/>
      <c r="N104" s="74">
        <f t="shared" ref="N104" si="59">N105+N110+N115</f>
        <v>0</v>
      </c>
    </row>
    <row r="105" ht="20.1" customHeight="1" spans="1:14">
      <c r="A105" s="47"/>
      <c r="B105" s="47"/>
      <c r="C105" s="47"/>
      <c r="D105" s="47"/>
      <c r="E105" s="47"/>
      <c r="F105" s="47"/>
      <c r="G105" s="50" t="s">
        <v>1476</v>
      </c>
      <c r="H105" s="74">
        <f>SUM(H106:H109)</f>
        <v>36</v>
      </c>
      <c r="I105" s="74">
        <f t="shared" ref="I105:J105" si="60">SUM(I106:I109)</f>
        <v>0</v>
      </c>
      <c r="J105" s="74">
        <f t="shared" si="60"/>
        <v>143</v>
      </c>
      <c r="K105" s="24">
        <f t="shared" si="44"/>
        <v>397.222222222222</v>
      </c>
      <c r="L105" s="24">
        <f t="shared" si="45"/>
        <v>0</v>
      </c>
      <c r="M105" s="47"/>
      <c r="N105" s="74">
        <f t="shared" ref="N105" si="61">SUM(N106:N109)</f>
        <v>0</v>
      </c>
    </row>
    <row r="106" ht="20.1" customHeight="1" spans="1:14">
      <c r="A106" s="47"/>
      <c r="B106" s="47"/>
      <c r="C106" s="47"/>
      <c r="D106" s="47"/>
      <c r="E106" s="47"/>
      <c r="F106" s="47"/>
      <c r="G106" s="50" t="s">
        <v>1411</v>
      </c>
      <c r="H106" s="52">
        <v>36</v>
      </c>
      <c r="I106" s="52"/>
      <c r="J106" s="52">
        <v>143</v>
      </c>
      <c r="K106" s="24">
        <f t="shared" si="44"/>
        <v>397.222222222222</v>
      </c>
      <c r="L106" s="24">
        <f t="shared" si="45"/>
        <v>0</v>
      </c>
      <c r="M106" s="47"/>
      <c r="N106" s="52"/>
    </row>
    <row r="107" ht="20.1" customHeight="1" spans="1:14">
      <c r="A107" s="47"/>
      <c r="B107" s="47"/>
      <c r="C107" s="47"/>
      <c r="D107" s="47"/>
      <c r="E107" s="47"/>
      <c r="F107" s="47"/>
      <c r="G107" s="50" t="s">
        <v>1477</v>
      </c>
      <c r="H107" s="52"/>
      <c r="I107" s="52"/>
      <c r="J107" s="52"/>
      <c r="K107" s="24">
        <f t="shared" si="44"/>
        <v>0</v>
      </c>
      <c r="L107" s="24">
        <f t="shared" si="45"/>
        <v>0</v>
      </c>
      <c r="M107" s="47"/>
      <c r="N107" s="52"/>
    </row>
    <row r="108" ht="20.1" customHeight="1" spans="1:14">
      <c r="A108" s="47"/>
      <c r="B108" s="47"/>
      <c r="C108" s="47"/>
      <c r="D108" s="47"/>
      <c r="E108" s="47"/>
      <c r="F108" s="47"/>
      <c r="G108" s="50" t="s">
        <v>1478</v>
      </c>
      <c r="H108" s="52"/>
      <c r="I108" s="52"/>
      <c r="J108" s="52"/>
      <c r="K108" s="24">
        <f t="shared" si="44"/>
        <v>0</v>
      </c>
      <c r="L108" s="24">
        <f t="shared" si="45"/>
        <v>0</v>
      </c>
      <c r="M108" s="47"/>
      <c r="N108" s="52"/>
    </row>
    <row r="109" ht="20.1" customHeight="1" spans="1:14">
      <c r="A109" s="47"/>
      <c r="B109" s="47"/>
      <c r="C109" s="47"/>
      <c r="D109" s="47"/>
      <c r="E109" s="47"/>
      <c r="F109" s="47"/>
      <c r="G109" s="50" t="s">
        <v>1479</v>
      </c>
      <c r="H109" s="52"/>
      <c r="I109" s="52"/>
      <c r="J109" s="52"/>
      <c r="K109" s="24">
        <f t="shared" si="44"/>
        <v>0</v>
      </c>
      <c r="L109" s="24">
        <f t="shared" si="45"/>
        <v>0</v>
      </c>
      <c r="M109" s="47"/>
      <c r="N109" s="52"/>
    </row>
    <row r="110" ht="20.1" customHeight="1" spans="1:14">
      <c r="A110" s="47"/>
      <c r="B110" s="47"/>
      <c r="C110" s="47"/>
      <c r="D110" s="47"/>
      <c r="E110" s="47"/>
      <c r="F110" s="47"/>
      <c r="G110" s="50" t="s">
        <v>1480</v>
      </c>
      <c r="H110" s="74">
        <f>SUM(H111:H114)</f>
        <v>0</v>
      </c>
      <c r="I110" s="74">
        <f t="shared" ref="I110:J110" si="62">SUM(I111:I114)</f>
        <v>0</v>
      </c>
      <c r="J110" s="74">
        <f t="shared" si="62"/>
        <v>0</v>
      </c>
      <c r="K110" s="24">
        <f t="shared" si="44"/>
        <v>0</v>
      </c>
      <c r="L110" s="24">
        <f t="shared" si="45"/>
        <v>0</v>
      </c>
      <c r="M110" s="47"/>
      <c r="N110" s="74">
        <f t="shared" ref="N110" si="63">SUM(N111:N114)</f>
        <v>0</v>
      </c>
    </row>
    <row r="111" ht="20.1" customHeight="1" spans="1:14">
      <c r="A111" s="47"/>
      <c r="B111" s="47"/>
      <c r="C111" s="47"/>
      <c r="D111" s="47"/>
      <c r="E111" s="47"/>
      <c r="F111" s="47"/>
      <c r="G111" s="50" t="s">
        <v>1411</v>
      </c>
      <c r="H111" s="52"/>
      <c r="I111" s="52"/>
      <c r="J111" s="52"/>
      <c r="K111" s="24">
        <f t="shared" si="44"/>
        <v>0</v>
      </c>
      <c r="L111" s="24">
        <f t="shared" si="45"/>
        <v>0</v>
      </c>
      <c r="M111" s="47"/>
      <c r="N111" s="52"/>
    </row>
    <row r="112" ht="20.1" customHeight="1" spans="1:14">
      <c r="A112" s="47"/>
      <c r="B112" s="47"/>
      <c r="C112" s="47"/>
      <c r="D112" s="47"/>
      <c r="E112" s="47"/>
      <c r="F112" s="47"/>
      <c r="G112" s="50" t="s">
        <v>1477</v>
      </c>
      <c r="H112" s="52"/>
      <c r="I112" s="52"/>
      <c r="J112" s="52"/>
      <c r="K112" s="24">
        <f t="shared" si="44"/>
        <v>0</v>
      </c>
      <c r="L112" s="24">
        <f t="shared" si="45"/>
        <v>0</v>
      </c>
      <c r="M112" s="47"/>
      <c r="N112" s="52"/>
    </row>
    <row r="113" ht="20.1" customHeight="1" spans="1:14">
      <c r="A113" s="47"/>
      <c r="B113" s="47"/>
      <c r="C113" s="47"/>
      <c r="D113" s="47"/>
      <c r="E113" s="47"/>
      <c r="F113" s="47"/>
      <c r="G113" s="50" t="s">
        <v>1481</v>
      </c>
      <c r="H113" s="52"/>
      <c r="I113" s="52"/>
      <c r="J113" s="52"/>
      <c r="K113" s="24">
        <f t="shared" si="44"/>
        <v>0</v>
      </c>
      <c r="L113" s="24">
        <f t="shared" si="45"/>
        <v>0</v>
      </c>
      <c r="M113" s="47"/>
      <c r="N113" s="52"/>
    </row>
    <row r="114" ht="20.1" customHeight="1" spans="1:14">
      <c r="A114" s="47"/>
      <c r="B114" s="47"/>
      <c r="C114" s="47"/>
      <c r="D114" s="47"/>
      <c r="E114" s="47"/>
      <c r="F114" s="47"/>
      <c r="G114" s="50" t="s">
        <v>1482</v>
      </c>
      <c r="H114" s="52"/>
      <c r="I114" s="52"/>
      <c r="J114" s="52"/>
      <c r="K114" s="24">
        <f t="shared" si="44"/>
        <v>0</v>
      </c>
      <c r="L114" s="24">
        <f t="shared" si="45"/>
        <v>0</v>
      </c>
      <c r="M114" s="47"/>
      <c r="N114" s="52"/>
    </row>
    <row r="115" ht="20.1" customHeight="1" spans="1:14">
      <c r="A115" s="47"/>
      <c r="B115" s="47"/>
      <c r="C115" s="47"/>
      <c r="D115" s="47"/>
      <c r="E115" s="47"/>
      <c r="F115" s="47"/>
      <c r="G115" s="50" t="s">
        <v>1483</v>
      </c>
      <c r="H115" s="74">
        <f>SUM(H116:H119)</f>
        <v>0</v>
      </c>
      <c r="I115" s="74">
        <f t="shared" ref="I115:J115" si="64">SUM(I116:I119)</f>
        <v>0</v>
      </c>
      <c r="J115" s="74">
        <f t="shared" si="64"/>
        <v>0</v>
      </c>
      <c r="K115" s="24">
        <f t="shared" si="44"/>
        <v>0</v>
      </c>
      <c r="L115" s="24">
        <f t="shared" si="45"/>
        <v>0</v>
      </c>
      <c r="M115" s="47"/>
      <c r="N115" s="74">
        <f t="shared" ref="N115" si="65">SUM(N116:N119)</f>
        <v>0</v>
      </c>
    </row>
    <row r="116" ht="20.1" customHeight="1" spans="1:14">
      <c r="A116" s="47"/>
      <c r="B116" s="47"/>
      <c r="C116" s="47"/>
      <c r="D116" s="47"/>
      <c r="E116" s="47"/>
      <c r="F116" s="47"/>
      <c r="G116" s="50" t="s">
        <v>712</v>
      </c>
      <c r="H116" s="52"/>
      <c r="I116" s="52"/>
      <c r="J116" s="52"/>
      <c r="K116" s="24">
        <f t="shared" si="44"/>
        <v>0</v>
      </c>
      <c r="L116" s="24">
        <f t="shared" si="45"/>
        <v>0</v>
      </c>
      <c r="M116" s="47"/>
      <c r="N116" s="52"/>
    </row>
    <row r="117" ht="20.1" customHeight="1" spans="1:14">
      <c r="A117" s="47"/>
      <c r="B117" s="47"/>
      <c r="C117" s="47"/>
      <c r="D117" s="47"/>
      <c r="E117" s="47"/>
      <c r="F117" s="47"/>
      <c r="G117" s="50" t="s">
        <v>1484</v>
      </c>
      <c r="H117" s="52"/>
      <c r="I117" s="52"/>
      <c r="J117" s="52"/>
      <c r="K117" s="24">
        <f t="shared" si="44"/>
        <v>0</v>
      </c>
      <c r="L117" s="24">
        <f t="shared" si="45"/>
        <v>0</v>
      </c>
      <c r="M117" s="47"/>
      <c r="N117" s="52"/>
    </row>
    <row r="118" ht="20.1" customHeight="1" spans="1:14">
      <c r="A118" s="47"/>
      <c r="B118" s="47"/>
      <c r="C118" s="47"/>
      <c r="D118" s="47"/>
      <c r="E118" s="47"/>
      <c r="F118" s="47"/>
      <c r="G118" s="50" t="s">
        <v>1485</v>
      </c>
      <c r="H118" s="52"/>
      <c r="I118" s="52"/>
      <c r="J118" s="52"/>
      <c r="K118" s="24">
        <f t="shared" si="44"/>
        <v>0</v>
      </c>
      <c r="L118" s="24">
        <f t="shared" si="45"/>
        <v>0</v>
      </c>
      <c r="M118" s="47"/>
      <c r="N118" s="52"/>
    </row>
    <row r="119" ht="20.1" customHeight="1" spans="1:14">
      <c r="A119" s="47"/>
      <c r="B119" s="47"/>
      <c r="C119" s="47"/>
      <c r="D119" s="47"/>
      <c r="E119" s="47"/>
      <c r="F119" s="47"/>
      <c r="G119" s="50" t="s">
        <v>1486</v>
      </c>
      <c r="H119" s="52"/>
      <c r="I119" s="52"/>
      <c r="J119" s="52"/>
      <c r="K119" s="24">
        <f t="shared" si="44"/>
        <v>0</v>
      </c>
      <c r="L119" s="24">
        <f t="shared" si="45"/>
        <v>0</v>
      </c>
      <c r="M119" s="47"/>
      <c r="N119" s="52"/>
    </row>
    <row r="120" ht="20.1" customHeight="1" spans="1:14">
      <c r="A120" s="47"/>
      <c r="B120" s="47"/>
      <c r="C120" s="47"/>
      <c r="D120" s="47"/>
      <c r="E120" s="47"/>
      <c r="F120" s="47"/>
      <c r="G120" s="48" t="s">
        <v>1487</v>
      </c>
      <c r="H120" s="74">
        <f>H121+H126+H131+H140+H147+H156+H159+H162</f>
        <v>0</v>
      </c>
      <c r="I120" s="74">
        <f t="shared" ref="I120:J120" si="66">I121+I126+I131+I140+I147+I156+I159+I162</f>
        <v>0</v>
      </c>
      <c r="J120" s="74">
        <f t="shared" si="66"/>
        <v>0</v>
      </c>
      <c r="K120" s="24">
        <f t="shared" si="44"/>
        <v>0</v>
      </c>
      <c r="L120" s="24">
        <f t="shared" si="45"/>
        <v>0</v>
      </c>
      <c r="M120" s="47"/>
      <c r="N120" s="74">
        <f t="shared" ref="N120" si="67">N121+N126+N131+N140+N147+N156+N159+N162</f>
        <v>0</v>
      </c>
    </row>
    <row r="121" ht="20.1" customHeight="1" spans="1:14">
      <c r="A121" s="47"/>
      <c r="B121" s="47"/>
      <c r="C121" s="47"/>
      <c r="D121" s="47"/>
      <c r="E121" s="47"/>
      <c r="F121" s="47"/>
      <c r="G121" s="50" t="s">
        <v>1488</v>
      </c>
      <c r="H121" s="74">
        <f>SUM(H122:H125)</f>
        <v>0</v>
      </c>
      <c r="I121" s="74">
        <f t="shared" ref="I121:J121" si="68">SUM(I122:I125)</f>
        <v>0</v>
      </c>
      <c r="J121" s="74">
        <f t="shared" si="68"/>
        <v>0</v>
      </c>
      <c r="K121" s="24">
        <f t="shared" si="44"/>
        <v>0</v>
      </c>
      <c r="L121" s="24">
        <f t="shared" si="45"/>
        <v>0</v>
      </c>
      <c r="M121" s="47"/>
      <c r="N121" s="74">
        <f t="shared" ref="N121" si="69">SUM(N122:N125)</f>
        <v>0</v>
      </c>
    </row>
    <row r="122" ht="20.1" customHeight="1" spans="1:14">
      <c r="A122" s="47"/>
      <c r="B122" s="47"/>
      <c r="C122" s="47"/>
      <c r="D122" s="47"/>
      <c r="E122" s="47"/>
      <c r="F122" s="47"/>
      <c r="G122" s="50" t="s">
        <v>743</v>
      </c>
      <c r="H122" s="52"/>
      <c r="I122" s="52"/>
      <c r="J122" s="52"/>
      <c r="K122" s="24">
        <f t="shared" si="44"/>
        <v>0</v>
      </c>
      <c r="L122" s="24">
        <f t="shared" si="45"/>
        <v>0</v>
      </c>
      <c r="M122" s="47"/>
      <c r="N122" s="52"/>
    </row>
    <row r="123" ht="20.1" customHeight="1" spans="1:14">
      <c r="A123" s="47"/>
      <c r="B123" s="47"/>
      <c r="C123" s="47"/>
      <c r="D123" s="47"/>
      <c r="E123" s="47"/>
      <c r="F123" s="47"/>
      <c r="G123" s="50" t="s">
        <v>744</v>
      </c>
      <c r="H123" s="52"/>
      <c r="I123" s="52"/>
      <c r="J123" s="52"/>
      <c r="K123" s="24">
        <f t="shared" si="44"/>
        <v>0</v>
      </c>
      <c r="L123" s="24">
        <f t="shared" si="45"/>
        <v>0</v>
      </c>
      <c r="M123" s="47"/>
      <c r="N123" s="52"/>
    </row>
    <row r="124" ht="20.1" customHeight="1" spans="1:14">
      <c r="A124" s="47"/>
      <c r="B124" s="47"/>
      <c r="C124" s="47"/>
      <c r="D124" s="47"/>
      <c r="E124" s="47"/>
      <c r="F124" s="47"/>
      <c r="G124" s="50" t="s">
        <v>1489</v>
      </c>
      <c r="H124" s="52"/>
      <c r="I124" s="52"/>
      <c r="J124" s="52"/>
      <c r="K124" s="24">
        <f t="shared" si="44"/>
        <v>0</v>
      </c>
      <c r="L124" s="24">
        <f t="shared" si="45"/>
        <v>0</v>
      </c>
      <c r="M124" s="47"/>
      <c r="N124" s="52"/>
    </row>
    <row r="125" ht="20.1" customHeight="1" spans="1:14">
      <c r="A125" s="47"/>
      <c r="B125" s="47"/>
      <c r="C125" s="47"/>
      <c r="D125" s="47"/>
      <c r="E125" s="47"/>
      <c r="F125" s="47"/>
      <c r="G125" s="50" t="s">
        <v>1490</v>
      </c>
      <c r="H125" s="52"/>
      <c r="I125" s="52"/>
      <c r="J125" s="52"/>
      <c r="K125" s="24">
        <f t="shared" si="44"/>
        <v>0</v>
      </c>
      <c r="L125" s="24">
        <f t="shared" si="45"/>
        <v>0</v>
      </c>
      <c r="M125" s="47"/>
      <c r="N125" s="52"/>
    </row>
    <row r="126" ht="20.1" customHeight="1" spans="1:14">
      <c r="A126" s="47"/>
      <c r="B126" s="47"/>
      <c r="C126" s="47"/>
      <c r="D126" s="47"/>
      <c r="E126" s="47"/>
      <c r="F126" s="47"/>
      <c r="G126" s="50" t="s">
        <v>1491</v>
      </c>
      <c r="H126" s="74">
        <f>SUM(H127:H130)</f>
        <v>0</v>
      </c>
      <c r="I126" s="74">
        <f t="shared" ref="I126:J126" si="70">SUM(I127:I130)</f>
        <v>0</v>
      </c>
      <c r="J126" s="74">
        <f t="shared" si="70"/>
        <v>0</v>
      </c>
      <c r="K126" s="24">
        <f t="shared" si="44"/>
        <v>0</v>
      </c>
      <c r="L126" s="24">
        <f t="shared" si="45"/>
        <v>0</v>
      </c>
      <c r="M126" s="47"/>
      <c r="N126" s="74">
        <f t="shared" ref="N126" si="71">SUM(N127:N130)</f>
        <v>0</v>
      </c>
    </row>
    <row r="127" ht="20.1" customHeight="1" spans="1:14">
      <c r="A127" s="47"/>
      <c r="B127" s="47"/>
      <c r="C127" s="47"/>
      <c r="D127" s="47"/>
      <c r="E127" s="47"/>
      <c r="F127" s="47"/>
      <c r="G127" s="50" t="s">
        <v>1489</v>
      </c>
      <c r="H127" s="52"/>
      <c r="I127" s="52"/>
      <c r="J127" s="52"/>
      <c r="K127" s="24">
        <f t="shared" si="44"/>
        <v>0</v>
      </c>
      <c r="L127" s="24">
        <f t="shared" si="45"/>
        <v>0</v>
      </c>
      <c r="M127" s="47"/>
      <c r="N127" s="52"/>
    </row>
    <row r="128" ht="20.1" customHeight="1" spans="1:14">
      <c r="A128" s="47"/>
      <c r="B128" s="47"/>
      <c r="C128" s="47"/>
      <c r="D128" s="47"/>
      <c r="E128" s="47"/>
      <c r="F128" s="47"/>
      <c r="G128" s="50" t="s">
        <v>1492</v>
      </c>
      <c r="H128" s="52"/>
      <c r="I128" s="52"/>
      <c r="J128" s="52"/>
      <c r="K128" s="24">
        <f t="shared" si="44"/>
        <v>0</v>
      </c>
      <c r="L128" s="24">
        <f t="shared" si="45"/>
        <v>0</v>
      </c>
      <c r="M128" s="47"/>
      <c r="N128" s="52"/>
    </row>
    <row r="129" ht="20.1" customHeight="1" spans="1:14">
      <c r="A129" s="47"/>
      <c r="B129" s="47"/>
      <c r="C129" s="47"/>
      <c r="D129" s="47"/>
      <c r="E129" s="47"/>
      <c r="F129" s="47"/>
      <c r="G129" s="50" t="s">
        <v>1493</v>
      </c>
      <c r="H129" s="52"/>
      <c r="I129" s="52"/>
      <c r="J129" s="52"/>
      <c r="K129" s="24">
        <f t="shared" si="44"/>
        <v>0</v>
      </c>
      <c r="L129" s="24">
        <f t="shared" si="45"/>
        <v>0</v>
      </c>
      <c r="M129" s="47"/>
      <c r="N129" s="52"/>
    </row>
    <row r="130" ht="20.1" customHeight="1" spans="1:14">
      <c r="A130" s="47"/>
      <c r="B130" s="47"/>
      <c r="C130" s="47"/>
      <c r="D130" s="47"/>
      <c r="E130" s="47"/>
      <c r="F130" s="47"/>
      <c r="G130" s="50" t="s">
        <v>1494</v>
      </c>
      <c r="H130" s="52"/>
      <c r="I130" s="52"/>
      <c r="J130" s="52"/>
      <c r="K130" s="24">
        <f t="shared" si="44"/>
        <v>0</v>
      </c>
      <c r="L130" s="24">
        <f t="shared" si="45"/>
        <v>0</v>
      </c>
      <c r="M130" s="47"/>
      <c r="N130" s="52"/>
    </row>
    <row r="131" ht="20.1" customHeight="1" spans="1:14">
      <c r="A131" s="47"/>
      <c r="B131" s="47"/>
      <c r="C131" s="47"/>
      <c r="D131" s="47"/>
      <c r="E131" s="47"/>
      <c r="F131" s="47"/>
      <c r="G131" s="50" t="s">
        <v>1495</v>
      </c>
      <c r="H131" s="74">
        <f>SUM(H132:H139)</f>
        <v>0</v>
      </c>
      <c r="I131" s="74">
        <f t="shared" ref="I131:J131" si="72">SUM(I132:I139)</f>
        <v>0</v>
      </c>
      <c r="J131" s="74">
        <f t="shared" si="72"/>
        <v>0</v>
      </c>
      <c r="K131" s="24">
        <f t="shared" si="44"/>
        <v>0</v>
      </c>
      <c r="L131" s="24">
        <f t="shared" si="45"/>
        <v>0</v>
      </c>
      <c r="M131" s="47"/>
      <c r="N131" s="74">
        <f t="shared" ref="N131" si="73">SUM(N132:N139)</f>
        <v>0</v>
      </c>
    </row>
    <row r="132" ht="20.1" customHeight="1" spans="1:14">
      <c r="A132" s="47"/>
      <c r="B132" s="47"/>
      <c r="C132" s="47"/>
      <c r="D132" s="47"/>
      <c r="E132" s="47"/>
      <c r="F132" s="47"/>
      <c r="G132" s="50" t="s">
        <v>1496</v>
      </c>
      <c r="H132" s="52"/>
      <c r="I132" s="52"/>
      <c r="J132" s="52"/>
      <c r="K132" s="24">
        <f t="shared" si="44"/>
        <v>0</v>
      </c>
      <c r="L132" s="24">
        <f t="shared" si="45"/>
        <v>0</v>
      </c>
      <c r="M132" s="47"/>
      <c r="N132" s="52"/>
    </row>
    <row r="133" ht="20.1" customHeight="1" spans="1:14">
      <c r="A133" s="47"/>
      <c r="B133" s="47"/>
      <c r="C133" s="47"/>
      <c r="D133" s="47"/>
      <c r="E133" s="47"/>
      <c r="F133" s="47"/>
      <c r="G133" s="50" t="s">
        <v>1497</v>
      </c>
      <c r="H133" s="52"/>
      <c r="I133" s="52"/>
      <c r="J133" s="52"/>
      <c r="K133" s="24">
        <f t="shared" si="44"/>
        <v>0</v>
      </c>
      <c r="L133" s="24">
        <f t="shared" si="45"/>
        <v>0</v>
      </c>
      <c r="M133" s="47"/>
      <c r="N133" s="52"/>
    </row>
    <row r="134" ht="20.1" customHeight="1" spans="1:14">
      <c r="A134" s="47"/>
      <c r="B134" s="47"/>
      <c r="C134" s="47"/>
      <c r="D134" s="47"/>
      <c r="E134" s="47"/>
      <c r="F134" s="47"/>
      <c r="G134" s="50" t="s">
        <v>1498</v>
      </c>
      <c r="H134" s="52"/>
      <c r="I134" s="52"/>
      <c r="J134" s="52"/>
      <c r="K134" s="24">
        <f t="shared" si="44"/>
        <v>0</v>
      </c>
      <c r="L134" s="24">
        <f t="shared" si="45"/>
        <v>0</v>
      </c>
      <c r="M134" s="47"/>
      <c r="N134" s="52"/>
    </row>
    <row r="135" ht="20.1" customHeight="1" spans="1:14">
      <c r="A135" s="47"/>
      <c r="B135" s="47"/>
      <c r="C135" s="47"/>
      <c r="D135" s="47"/>
      <c r="E135" s="47"/>
      <c r="F135" s="47"/>
      <c r="G135" s="50" t="s">
        <v>1499</v>
      </c>
      <c r="H135" s="52"/>
      <c r="I135" s="52"/>
      <c r="J135" s="52"/>
      <c r="K135" s="24">
        <f t="shared" si="44"/>
        <v>0</v>
      </c>
      <c r="L135" s="24">
        <f t="shared" si="45"/>
        <v>0</v>
      </c>
      <c r="M135" s="47"/>
      <c r="N135" s="52"/>
    </row>
    <row r="136" ht="20.1" customHeight="1" spans="1:14">
      <c r="A136" s="47"/>
      <c r="B136" s="47"/>
      <c r="C136" s="47"/>
      <c r="D136" s="47"/>
      <c r="E136" s="47"/>
      <c r="F136" s="47"/>
      <c r="G136" s="50" t="s">
        <v>1500</v>
      </c>
      <c r="H136" s="52"/>
      <c r="I136" s="52"/>
      <c r="J136" s="52"/>
      <c r="K136" s="24">
        <f t="shared" ref="K136:K199" si="74">IF(H136&gt;0,J136/H136*100,)</f>
        <v>0</v>
      </c>
      <c r="L136" s="24">
        <f t="shared" ref="L136:L199" si="75">IF(I136&gt;0,J136/I136*100,)</f>
        <v>0</v>
      </c>
      <c r="M136" s="47"/>
      <c r="N136" s="52"/>
    </row>
    <row r="137" ht="20.1" customHeight="1" spans="1:14">
      <c r="A137" s="47"/>
      <c r="B137" s="47"/>
      <c r="C137" s="47"/>
      <c r="D137" s="47"/>
      <c r="E137" s="47"/>
      <c r="F137" s="47"/>
      <c r="G137" s="50" t="s">
        <v>1501</v>
      </c>
      <c r="H137" s="52"/>
      <c r="I137" s="52"/>
      <c r="J137" s="52"/>
      <c r="K137" s="24">
        <f t="shared" si="74"/>
        <v>0</v>
      </c>
      <c r="L137" s="24">
        <f t="shared" si="75"/>
        <v>0</v>
      </c>
      <c r="M137" s="47"/>
      <c r="N137" s="52"/>
    </row>
    <row r="138" ht="20.1" customHeight="1" spans="1:14">
      <c r="A138" s="47"/>
      <c r="B138" s="47"/>
      <c r="C138" s="47"/>
      <c r="D138" s="47"/>
      <c r="E138" s="47"/>
      <c r="F138" s="47"/>
      <c r="G138" s="50" t="s">
        <v>1502</v>
      </c>
      <c r="H138" s="52"/>
      <c r="I138" s="52"/>
      <c r="J138" s="52"/>
      <c r="K138" s="24">
        <f t="shared" si="74"/>
        <v>0</v>
      </c>
      <c r="L138" s="24">
        <f t="shared" si="75"/>
        <v>0</v>
      </c>
      <c r="M138" s="47"/>
      <c r="N138" s="52"/>
    </row>
    <row r="139" ht="20.1" customHeight="1" spans="1:14">
      <c r="A139" s="47"/>
      <c r="B139" s="47"/>
      <c r="C139" s="47"/>
      <c r="D139" s="47"/>
      <c r="E139" s="47"/>
      <c r="F139" s="47"/>
      <c r="G139" s="50" t="s">
        <v>1503</v>
      </c>
      <c r="H139" s="52"/>
      <c r="I139" s="52"/>
      <c r="J139" s="52"/>
      <c r="K139" s="24">
        <f t="shared" si="74"/>
        <v>0</v>
      </c>
      <c r="L139" s="24">
        <f t="shared" si="75"/>
        <v>0</v>
      </c>
      <c r="M139" s="47"/>
      <c r="N139" s="52"/>
    </row>
    <row r="140" ht="20.1" customHeight="1" spans="1:14">
      <c r="A140" s="47"/>
      <c r="B140" s="47"/>
      <c r="C140" s="47"/>
      <c r="D140" s="47"/>
      <c r="E140" s="47"/>
      <c r="F140" s="47"/>
      <c r="G140" s="50" t="s">
        <v>1504</v>
      </c>
      <c r="H140" s="74">
        <f>SUM(H141:H146)</f>
        <v>0</v>
      </c>
      <c r="I140" s="74">
        <f t="shared" ref="I140:J140" si="76">SUM(I141:I146)</f>
        <v>0</v>
      </c>
      <c r="J140" s="74">
        <f t="shared" si="76"/>
        <v>0</v>
      </c>
      <c r="K140" s="24">
        <f t="shared" si="74"/>
        <v>0</v>
      </c>
      <c r="L140" s="24">
        <f t="shared" si="75"/>
        <v>0</v>
      </c>
      <c r="M140" s="47"/>
      <c r="N140" s="74">
        <f t="shared" ref="N140" si="77">SUM(N141:N146)</f>
        <v>0</v>
      </c>
    </row>
    <row r="141" ht="20.1" customHeight="1" spans="1:14">
      <c r="A141" s="47"/>
      <c r="B141" s="47"/>
      <c r="C141" s="47"/>
      <c r="D141" s="47"/>
      <c r="E141" s="47"/>
      <c r="F141" s="47"/>
      <c r="G141" s="50" t="s">
        <v>1505</v>
      </c>
      <c r="H141" s="52"/>
      <c r="I141" s="52"/>
      <c r="J141" s="52"/>
      <c r="K141" s="24">
        <f t="shared" si="74"/>
        <v>0</v>
      </c>
      <c r="L141" s="24">
        <f t="shared" si="75"/>
        <v>0</v>
      </c>
      <c r="M141" s="47"/>
      <c r="N141" s="52"/>
    </row>
    <row r="142" ht="20.1" customHeight="1" spans="1:14">
      <c r="A142" s="47"/>
      <c r="B142" s="47"/>
      <c r="C142" s="47"/>
      <c r="D142" s="47"/>
      <c r="E142" s="47"/>
      <c r="F142" s="47"/>
      <c r="G142" s="50" t="s">
        <v>1506</v>
      </c>
      <c r="H142" s="52"/>
      <c r="I142" s="52"/>
      <c r="J142" s="52"/>
      <c r="K142" s="24">
        <f t="shared" si="74"/>
        <v>0</v>
      </c>
      <c r="L142" s="24">
        <f t="shared" si="75"/>
        <v>0</v>
      </c>
      <c r="M142" s="47"/>
      <c r="N142" s="52"/>
    </row>
    <row r="143" ht="20.1" customHeight="1" spans="1:14">
      <c r="A143" s="47"/>
      <c r="B143" s="47"/>
      <c r="C143" s="47"/>
      <c r="D143" s="47"/>
      <c r="E143" s="47"/>
      <c r="F143" s="47"/>
      <c r="G143" s="50" t="s">
        <v>1507</v>
      </c>
      <c r="H143" s="52"/>
      <c r="I143" s="52"/>
      <c r="J143" s="52"/>
      <c r="K143" s="24">
        <f t="shared" si="74"/>
        <v>0</v>
      </c>
      <c r="L143" s="24">
        <f t="shared" si="75"/>
        <v>0</v>
      </c>
      <c r="M143" s="47"/>
      <c r="N143" s="52"/>
    </row>
    <row r="144" ht="20.1" customHeight="1" spans="1:14">
      <c r="A144" s="47"/>
      <c r="B144" s="47"/>
      <c r="C144" s="47"/>
      <c r="D144" s="47"/>
      <c r="E144" s="47"/>
      <c r="F144" s="47"/>
      <c r="G144" s="50" t="s">
        <v>1508</v>
      </c>
      <c r="H144" s="52"/>
      <c r="I144" s="52"/>
      <c r="J144" s="52"/>
      <c r="K144" s="24">
        <f t="shared" si="74"/>
        <v>0</v>
      </c>
      <c r="L144" s="24">
        <f t="shared" si="75"/>
        <v>0</v>
      </c>
      <c r="M144" s="47"/>
      <c r="N144" s="52"/>
    </row>
    <row r="145" ht="20.1" customHeight="1" spans="1:14">
      <c r="A145" s="47"/>
      <c r="B145" s="47"/>
      <c r="C145" s="47"/>
      <c r="D145" s="47"/>
      <c r="E145" s="47"/>
      <c r="F145" s="47"/>
      <c r="G145" s="50" t="s">
        <v>1509</v>
      </c>
      <c r="H145" s="52"/>
      <c r="I145" s="52"/>
      <c r="J145" s="52"/>
      <c r="K145" s="24">
        <f t="shared" si="74"/>
        <v>0</v>
      </c>
      <c r="L145" s="24">
        <f t="shared" si="75"/>
        <v>0</v>
      </c>
      <c r="M145" s="47"/>
      <c r="N145" s="52"/>
    </row>
    <row r="146" ht="20.1" customHeight="1" spans="1:14">
      <c r="A146" s="47"/>
      <c r="B146" s="47"/>
      <c r="C146" s="47"/>
      <c r="D146" s="47"/>
      <c r="E146" s="47"/>
      <c r="F146" s="47"/>
      <c r="G146" s="50" t="s">
        <v>1510</v>
      </c>
      <c r="H146" s="52"/>
      <c r="I146" s="52"/>
      <c r="J146" s="52"/>
      <c r="K146" s="24">
        <f t="shared" si="74"/>
        <v>0</v>
      </c>
      <c r="L146" s="24">
        <f t="shared" si="75"/>
        <v>0</v>
      </c>
      <c r="M146" s="47"/>
      <c r="N146" s="52"/>
    </row>
    <row r="147" ht="20.1" customHeight="1" spans="1:14">
      <c r="A147" s="47"/>
      <c r="B147" s="47"/>
      <c r="C147" s="47"/>
      <c r="D147" s="47"/>
      <c r="E147" s="47"/>
      <c r="F147" s="47"/>
      <c r="G147" s="50" t="s">
        <v>1511</v>
      </c>
      <c r="H147" s="74">
        <f>SUM(H148:H155)</f>
        <v>0</v>
      </c>
      <c r="I147" s="74">
        <f t="shared" ref="I147:J147" si="78">SUM(I148:I155)</f>
        <v>0</v>
      </c>
      <c r="J147" s="74">
        <f t="shared" si="78"/>
        <v>0</v>
      </c>
      <c r="K147" s="24">
        <f t="shared" si="74"/>
        <v>0</v>
      </c>
      <c r="L147" s="24">
        <f t="shared" si="75"/>
        <v>0</v>
      </c>
      <c r="M147" s="47"/>
      <c r="N147" s="74">
        <f t="shared" ref="N147" si="79">SUM(N148:N155)</f>
        <v>0</v>
      </c>
    </row>
    <row r="148" ht="20.1" customHeight="1" spans="1:14">
      <c r="A148" s="47"/>
      <c r="B148" s="47"/>
      <c r="C148" s="47"/>
      <c r="D148" s="47"/>
      <c r="E148" s="47"/>
      <c r="F148" s="47"/>
      <c r="G148" s="50" t="s">
        <v>1512</v>
      </c>
      <c r="H148" s="52"/>
      <c r="I148" s="52"/>
      <c r="J148" s="52"/>
      <c r="K148" s="24">
        <f t="shared" si="74"/>
        <v>0</v>
      </c>
      <c r="L148" s="24">
        <f t="shared" si="75"/>
        <v>0</v>
      </c>
      <c r="M148" s="47"/>
      <c r="N148" s="52"/>
    </row>
    <row r="149" ht="20.1" customHeight="1" spans="1:14">
      <c r="A149" s="47"/>
      <c r="B149" s="47"/>
      <c r="C149" s="47"/>
      <c r="D149" s="47"/>
      <c r="E149" s="47"/>
      <c r="F149" s="47"/>
      <c r="G149" s="50" t="s">
        <v>770</v>
      </c>
      <c r="H149" s="52"/>
      <c r="I149" s="52"/>
      <c r="J149" s="52"/>
      <c r="K149" s="24">
        <f t="shared" si="74"/>
        <v>0</v>
      </c>
      <c r="L149" s="24">
        <f t="shared" si="75"/>
        <v>0</v>
      </c>
      <c r="M149" s="47"/>
      <c r="N149" s="52"/>
    </row>
    <row r="150" ht="20.1" customHeight="1" spans="1:14">
      <c r="A150" s="47"/>
      <c r="B150" s="47"/>
      <c r="C150" s="47"/>
      <c r="D150" s="47"/>
      <c r="E150" s="47"/>
      <c r="F150" s="47"/>
      <c r="G150" s="50" t="s">
        <v>1513</v>
      </c>
      <c r="H150" s="52"/>
      <c r="I150" s="52"/>
      <c r="J150" s="52"/>
      <c r="K150" s="24">
        <f t="shared" si="74"/>
        <v>0</v>
      </c>
      <c r="L150" s="24">
        <f t="shared" si="75"/>
        <v>0</v>
      </c>
      <c r="M150" s="47"/>
      <c r="N150" s="52"/>
    </row>
    <row r="151" ht="20.1" customHeight="1" spans="1:14">
      <c r="A151" s="47"/>
      <c r="B151" s="47"/>
      <c r="C151" s="47"/>
      <c r="D151" s="47"/>
      <c r="E151" s="47"/>
      <c r="F151" s="47"/>
      <c r="G151" s="50" t="s">
        <v>1514</v>
      </c>
      <c r="H151" s="52"/>
      <c r="I151" s="52"/>
      <c r="J151" s="52"/>
      <c r="K151" s="24">
        <f t="shared" si="74"/>
        <v>0</v>
      </c>
      <c r="L151" s="24">
        <f t="shared" si="75"/>
        <v>0</v>
      </c>
      <c r="M151" s="47"/>
      <c r="N151" s="52"/>
    </row>
    <row r="152" ht="20.1" customHeight="1" spans="1:14">
      <c r="A152" s="47"/>
      <c r="B152" s="47"/>
      <c r="C152" s="47"/>
      <c r="D152" s="47"/>
      <c r="E152" s="47"/>
      <c r="F152" s="47"/>
      <c r="G152" s="50" t="s">
        <v>1515</v>
      </c>
      <c r="H152" s="52"/>
      <c r="I152" s="52"/>
      <c r="J152" s="52"/>
      <c r="K152" s="24">
        <f t="shared" si="74"/>
        <v>0</v>
      </c>
      <c r="L152" s="24">
        <f t="shared" si="75"/>
        <v>0</v>
      </c>
      <c r="M152" s="47"/>
      <c r="N152" s="52"/>
    </row>
    <row r="153" ht="20.1" customHeight="1" spans="1:14">
      <c r="A153" s="47"/>
      <c r="B153" s="47"/>
      <c r="C153" s="47"/>
      <c r="D153" s="47"/>
      <c r="E153" s="47"/>
      <c r="F153" s="47"/>
      <c r="G153" s="50" t="s">
        <v>1516</v>
      </c>
      <c r="H153" s="52"/>
      <c r="I153" s="52"/>
      <c r="J153" s="52"/>
      <c r="K153" s="24">
        <f t="shared" si="74"/>
        <v>0</v>
      </c>
      <c r="L153" s="24">
        <f t="shared" si="75"/>
        <v>0</v>
      </c>
      <c r="M153" s="47"/>
      <c r="N153" s="52"/>
    </row>
    <row r="154" ht="20.1" customHeight="1" spans="1:14">
      <c r="A154" s="47"/>
      <c r="B154" s="47"/>
      <c r="C154" s="47"/>
      <c r="D154" s="47"/>
      <c r="E154" s="47"/>
      <c r="F154" s="47"/>
      <c r="G154" s="50" t="s">
        <v>1517</v>
      </c>
      <c r="H154" s="52"/>
      <c r="I154" s="52"/>
      <c r="J154" s="52"/>
      <c r="K154" s="24">
        <f t="shared" si="74"/>
        <v>0</v>
      </c>
      <c r="L154" s="24">
        <f t="shared" si="75"/>
        <v>0</v>
      </c>
      <c r="M154" s="47"/>
      <c r="N154" s="52"/>
    </row>
    <row r="155" ht="20.1" customHeight="1" spans="1:14">
      <c r="A155" s="47"/>
      <c r="B155" s="47"/>
      <c r="C155" s="47"/>
      <c r="D155" s="47"/>
      <c r="E155" s="47"/>
      <c r="F155" s="47"/>
      <c r="G155" s="50" t="s">
        <v>1518</v>
      </c>
      <c r="H155" s="52"/>
      <c r="I155" s="52"/>
      <c r="J155" s="52"/>
      <c r="K155" s="24">
        <f t="shared" si="74"/>
        <v>0</v>
      </c>
      <c r="L155" s="24">
        <f t="shared" si="75"/>
        <v>0</v>
      </c>
      <c r="M155" s="47"/>
      <c r="N155" s="52"/>
    </row>
    <row r="156" ht="20.1" customHeight="1" spans="1:14">
      <c r="A156" s="47"/>
      <c r="B156" s="47"/>
      <c r="C156" s="47"/>
      <c r="D156" s="47"/>
      <c r="E156" s="47"/>
      <c r="F156" s="47"/>
      <c r="G156" s="50" t="s">
        <v>1519</v>
      </c>
      <c r="H156" s="74">
        <f>SUM(H157:H158)</f>
        <v>0</v>
      </c>
      <c r="I156" s="74">
        <f t="shared" ref="I156:J156" si="80">SUM(I157:I158)</f>
        <v>0</v>
      </c>
      <c r="J156" s="74">
        <f t="shared" si="80"/>
        <v>0</v>
      </c>
      <c r="K156" s="24">
        <f t="shared" si="74"/>
        <v>0</v>
      </c>
      <c r="L156" s="24">
        <f t="shared" si="75"/>
        <v>0</v>
      </c>
      <c r="M156" s="47"/>
      <c r="N156" s="74">
        <f t="shared" ref="N156" si="81">SUM(N157:N158)</f>
        <v>0</v>
      </c>
    </row>
    <row r="157" ht="20.1" customHeight="1" spans="1:14">
      <c r="A157" s="47"/>
      <c r="B157" s="47"/>
      <c r="C157" s="47"/>
      <c r="D157" s="47"/>
      <c r="E157" s="47"/>
      <c r="F157" s="47"/>
      <c r="G157" s="51" t="s">
        <v>743</v>
      </c>
      <c r="H157" s="52"/>
      <c r="I157" s="52"/>
      <c r="J157" s="52"/>
      <c r="K157" s="24">
        <f t="shared" si="74"/>
        <v>0</v>
      </c>
      <c r="L157" s="24">
        <f t="shared" si="75"/>
        <v>0</v>
      </c>
      <c r="M157" s="47"/>
      <c r="N157" s="52"/>
    </row>
    <row r="158" ht="20.1" customHeight="1" spans="1:14">
      <c r="A158" s="47"/>
      <c r="B158" s="47"/>
      <c r="C158" s="47"/>
      <c r="D158" s="47"/>
      <c r="E158" s="47"/>
      <c r="F158" s="47"/>
      <c r="G158" s="51" t="s">
        <v>1520</v>
      </c>
      <c r="H158" s="52"/>
      <c r="I158" s="52"/>
      <c r="J158" s="52"/>
      <c r="K158" s="24">
        <f t="shared" si="74"/>
        <v>0</v>
      </c>
      <c r="L158" s="24">
        <f t="shared" si="75"/>
        <v>0</v>
      </c>
      <c r="M158" s="47"/>
      <c r="N158" s="52"/>
    </row>
    <row r="159" ht="20.1" customHeight="1" spans="1:14">
      <c r="A159" s="47"/>
      <c r="B159" s="47"/>
      <c r="C159" s="47"/>
      <c r="D159" s="47"/>
      <c r="E159" s="47"/>
      <c r="F159" s="47"/>
      <c r="G159" s="50" t="s">
        <v>1521</v>
      </c>
      <c r="H159" s="74">
        <f>SUM(H160:H161)</f>
        <v>0</v>
      </c>
      <c r="I159" s="74">
        <f t="shared" ref="I159:J159" si="82">SUM(I160:I161)</f>
        <v>0</v>
      </c>
      <c r="J159" s="74">
        <f t="shared" si="82"/>
        <v>0</v>
      </c>
      <c r="K159" s="24">
        <f t="shared" si="74"/>
        <v>0</v>
      </c>
      <c r="L159" s="24">
        <f t="shared" si="75"/>
        <v>0</v>
      </c>
      <c r="M159" s="47"/>
      <c r="N159" s="74">
        <f t="shared" ref="N159" si="83">SUM(N160:N161)</f>
        <v>0</v>
      </c>
    </row>
    <row r="160" ht="20.1" customHeight="1" spans="1:14">
      <c r="A160" s="47"/>
      <c r="B160" s="47"/>
      <c r="C160" s="47"/>
      <c r="D160" s="47"/>
      <c r="E160" s="47"/>
      <c r="F160" s="47"/>
      <c r="G160" s="51" t="s">
        <v>743</v>
      </c>
      <c r="H160" s="52"/>
      <c r="I160" s="52"/>
      <c r="J160" s="52"/>
      <c r="K160" s="24">
        <f t="shared" si="74"/>
        <v>0</v>
      </c>
      <c r="L160" s="24">
        <f t="shared" si="75"/>
        <v>0</v>
      </c>
      <c r="M160" s="47"/>
      <c r="N160" s="52"/>
    </row>
    <row r="161" ht="20.1" customHeight="1" spans="1:14">
      <c r="A161" s="47"/>
      <c r="B161" s="47"/>
      <c r="C161" s="47"/>
      <c r="D161" s="47"/>
      <c r="E161" s="47"/>
      <c r="F161" s="47"/>
      <c r="G161" s="51" t="s">
        <v>1522</v>
      </c>
      <c r="H161" s="52"/>
      <c r="I161" s="52"/>
      <c r="J161" s="52"/>
      <c r="K161" s="24">
        <f t="shared" si="74"/>
        <v>0</v>
      </c>
      <c r="L161" s="24">
        <f t="shared" si="75"/>
        <v>0</v>
      </c>
      <c r="M161" s="47"/>
      <c r="N161" s="52"/>
    </row>
    <row r="162" ht="20.1" customHeight="1" spans="1:14">
      <c r="A162" s="47"/>
      <c r="B162" s="47"/>
      <c r="C162" s="47"/>
      <c r="D162" s="47"/>
      <c r="E162" s="47"/>
      <c r="F162" s="47"/>
      <c r="G162" s="50" t="s">
        <v>1523</v>
      </c>
      <c r="H162" s="52"/>
      <c r="I162" s="52"/>
      <c r="J162" s="52"/>
      <c r="K162" s="24">
        <f t="shared" si="74"/>
        <v>0</v>
      </c>
      <c r="L162" s="24">
        <f t="shared" si="75"/>
        <v>0</v>
      </c>
      <c r="M162" s="47"/>
      <c r="N162" s="52"/>
    </row>
    <row r="163" ht="20.1" customHeight="1" spans="1:14">
      <c r="A163" s="47"/>
      <c r="B163" s="47"/>
      <c r="C163" s="47"/>
      <c r="D163" s="47"/>
      <c r="E163" s="47"/>
      <c r="F163" s="47"/>
      <c r="G163" s="48" t="s">
        <v>1524</v>
      </c>
      <c r="H163" s="74">
        <f>H164</f>
        <v>0</v>
      </c>
      <c r="I163" s="74">
        <f t="shared" ref="I163:J163" si="84">I164</f>
        <v>0</v>
      </c>
      <c r="J163" s="74">
        <f t="shared" si="84"/>
        <v>0</v>
      </c>
      <c r="K163" s="24">
        <f t="shared" si="74"/>
        <v>0</v>
      </c>
      <c r="L163" s="24">
        <f t="shared" si="75"/>
        <v>0</v>
      </c>
      <c r="M163" s="47"/>
      <c r="N163" s="74">
        <f t="shared" ref="N163" si="85">N164</f>
        <v>0</v>
      </c>
    </row>
    <row r="164" ht="20.1" customHeight="1" spans="1:14">
      <c r="A164" s="47"/>
      <c r="B164" s="47"/>
      <c r="C164" s="47"/>
      <c r="D164" s="47"/>
      <c r="E164" s="47"/>
      <c r="F164" s="47"/>
      <c r="G164" s="50" t="s">
        <v>1525</v>
      </c>
      <c r="H164" s="74">
        <f>SUM(H165:H166)</f>
        <v>0</v>
      </c>
      <c r="I164" s="74">
        <f t="shared" ref="I164:J164" si="86">SUM(I165:I166)</f>
        <v>0</v>
      </c>
      <c r="J164" s="74">
        <f t="shared" si="86"/>
        <v>0</v>
      </c>
      <c r="K164" s="24">
        <f t="shared" si="74"/>
        <v>0</v>
      </c>
      <c r="L164" s="24">
        <f t="shared" si="75"/>
        <v>0</v>
      </c>
      <c r="M164" s="47"/>
      <c r="N164" s="74">
        <f t="shared" ref="N164" si="87">SUM(N165:N166)</f>
        <v>0</v>
      </c>
    </row>
    <row r="165" ht="20.1" customHeight="1" spans="1:14">
      <c r="A165" s="47"/>
      <c r="B165" s="47"/>
      <c r="C165" s="47"/>
      <c r="D165" s="47"/>
      <c r="E165" s="47"/>
      <c r="F165" s="47"/>
      <c r="G165" s="50" t="s">
        <v>1526</v>
      </c>
      <c r="H165" s="52"/>
      <c r="I165" s="52"/>
      <c r="J165" s="52"/>
      <c r="K165" s="24">
        <f t="shared" si="74"/>
        <v>0</v>
      </c>
      <c r="L165" s="24">
        <f t="shared" si="75"/>
        <v>0</v>
      </c>
      <c r="M165" s="47"/>
      <c r="N165" s="52"/>
    </row>
    <row r="166" ht="20.1" customHeight="1" spans="1:14">
      <c r="A166" s="47"/>
      <c r="B166" s="47"/>
      <c r="C166" s="47"/>
      <c r="D166" s="47"/>
      <c r="E166" s="47"/>
      <c r="F166" s="47"/>
      <c r="G166" s="50" t="s">
        <v>1527</v>
      </c>
      <c r="H166" s="52"/>
      <c r="I166" s="52"/>
      <c r="J166" s="52"/>
      <c r="K166" s="24">
        <f t="shared" si="74"/>
        <v>0</v>
      </c>
      <c r="L166" s="24">
        <f t="shared" si="75"/>
        <v>0</v>
      </c>
      <c r="M166" s="47"/>
      <c r="N166" s="52"/>
    </row>
    <row r="167" ht="20.1" customHeight="1" spans="1:14">
      <c r="A167" s="47"/>
      <c r="B167" s="47"/>
      <c r="C167" s="47"/>
      <c r="D167" s="47"/>
      <c r="E167" s="47"/>
      <c r="F167" s="47"/>
      <c r="G167" s="48" t="s">
        <v>1528</v>
      </c>
      <c r="H167" s="74">
        <f>H168+H172+H181</f>
        <v>276</v>
      </c>
      <c r="I167" s="74">
        <f t="shared" ref="I167:J167" si="88">I168+I172+I181</f>
        <v>281</v>
      </c>
      <c r="J167" s="74">
        <f t="shared" si="88"/>
        <v>293</v>
      </c>
      <c r="K167" s="24">
        <f t="shared" si="74"/>
        <v>106.159420289855</v>
      </c>
      <c r="L167" s="24">
        <f t="shared" si="75"/>
        <v>104.270462633452</v>
      </c>
      <c r="M167" s="47"/>
      <c r="N167" s="74">
        <f t="shared" ref="N167" si="89">N168+N172+N181</f>
        <v>0</v>
      </c>
    </row>
    <row r="168" ht="20.1" customHeight="1" spans="1:14">
      <c r="A168" s="47"/>
      <c r="B168" s="47"/>
      <c r="C168" s="47"/>
      <c r="D168" s="47"/>
      <c r="E168" s="47"/>
      <c r="F168" s="47"/>
      <c r="G168" s="50" t="s">
        <v>1529</v>
      </c>
      <c r="H168" s="74">
        <f>SUM(H169:H171)</f>
        <v>180</v>
      </c>
      <c r="I168" s="74">
        <f t="shared" ref="I168:J168" si="90">SUM(I169:I171)</f>
        <v>18</v>
      </c>
      <c r="J168" s="74">
        <f t="shared" si="90"/>
        <v>42</v>
      </c>
      <c r="K168" s="24">
        <f t="shared" si="74"/>
        <v>23.3333333333333</v>
      </c>
      <c r="L168" s="24">
        <f t="shared" si="75"/>
        <v>233.333333333333</v>
      </c>
      <c r="M168" s="47"/>
      <c r="N168" s="74">
        <f t="shared" ref="N168" si="91">SUM(N169:N171)</f>
        <v>0</v>
      </c>
    </row>
    <row r="169" ht="20.1" customHeight="1" spans="1:14">
      <c r="A169" s="47"/>
      <c r="B169" s="47"/>
      <c r="C169" s="47"/>
      <c r="D169" s="47"/>
      <c r="E169" s="47"/>
      <c r="F169" s="47"/>
      <c r="G169" s="50" t="s">
        <v>1530</v>
      </c>
      <c r="H169" s="52"/>
      <c r="I169" s="52">
        <v>18</v>
      </c>
      <c r="J169" s="52">
        <v>42</v>
      </c>
      <c r="K169" s="24">
        <f t="shared" si="74"/>
        <v>0</v>
      </c>
      <c r="L169" s="24">
        <f t="shared" si="75"/>
        <v>233.333333333333</v>
      </c>
      <c r="M169" s="47"/>
      <c r="N169" s="52"/>
    </row>
    <row r="170" ht="20.1" customHeight="1" spans="1:14">
      <c r="A170" s="47"/>
      <c r="B170" s="47"/>
      <c r="C170" s="47"/>
      <c r="D170" s="47"/>
      <c r="E170" s="47"/>
      <c r="F170" s="47"/>
      <c r="G170" s="50" t="s">
        <v>1531</v>
      </c>
      <c r="H170" s="52">
        <v>180</v>
      </c>
      <c r="I170" s="52"/>
      <c r="J170" s="52"/>
      <c r="K170" s="24">
        <f t="shared" si="74"/>
        <v>0</v>
      </c>
      <c r="L170" s="24">
        <f t="shared" si="75"/>
        <v>0</v>
      </c>
      <c r="M170" s="47"/>
      <c r="N170" s="52"/>
    </row>
    <row r="171" ht="20.1" customHeight="1" spans="1:14">
      <c r="A171" s="47"/>
      <c r="B171" s="47"/>
      <c r="C171" s="47"/>
      <c r="D171" s="47"/>
      <c r="E171" s="47"/>
      <c r="F171" s="47"/>
      <c r="G171" s="50" t="s">
        <v>1532</v>
      </c>
      <c r="H171" s="52"/>
      <c r="I171" s="52"/>
      <c r="J171" s="52"/>
      <c r="K171" s="24">
        <f t="shared" si="74"/>
        <v>0</v>
      </c>
      <c r="L171" s="24">
        <f t="shared" si="75"/>
        <v>0</v>
      </c>
      <c r="M171" s="47"/>
      <c r="N171" s="52"/>
    </row>
    <row r="172" ht="20.1" customHeight="1" spans="1:14">
      <c r="A172" s="47"/>
      <c r="B172" s="47"/>
      <c r="C172" s="47"/>
      <c r="D172" s="47"/>
      <c r="E172" s="47"/>
      <c r="F172" s="47"/>
      <c r="G172" s="50" t="s">
        <v>1533</v>
      </c>
      <c r="H172" s="74">
        <f>SUM(H173:H180)</f>
        <v>0</v>
      </c>
      <c r="I172" s="74">
        <f t="shared" ref="I172:J172" si="92">SUM(I173:I180)</f>
        <v>0</v>
      </c>
      <c r="J172" s="74">
        <f t="shared" si="92"/>
        <v>0</v>
      </c>
      <c r="K172" s="24">
        <f t="shared" si="74"/>
        <v>0</v>
      </c>
      <c r="L172" s="24">
        <f t="shared" si="75"/>
        <v>0</v>
      </c>
      <c r="M172" s="47"/>
      <c r="N172" s="74">
        <f t="shared" ref="N172" si="93">SUM(N173:N180)</f>
        <v>0</v>
      </c>
    </row>
    <row r="173" ht="20.1" customHeight="1" spans="1:14">
      <c r="A173" s="47"/>
      <c r="B173" s="47"/>
      <c r="C173" s="47"/>
      <c r="D173" s="47"/>
      <c r="E173" s="47"/>
      <c r="F173" s="47"/>
      <c r="G173" s="50" t="s">
        <v>1534</v>
      </c>
      <c r="H173" s="52"/>
      <c r="I173" s="52"/>
      <c r="J173" s="52"/>
      <c r="K173" s="24">
        <f t="shared" si="74"/>
        <v>0</v>
      </c>
      <c r="L173" s="24">
        <f t="shared" si="75"/>
        <v>0</v>
      </c>
      <c r="M173" s="47"/>
      <c r="N173" s="52"/>
    </row>
    <row r="174" ht="20.1" customHeight="1" spans="1:14">
      <c r="A174" s="47"/>
      <c r="B174" s="47"/>
      <c r="C174" s="47"/>
      <c r="D174" s="47"/>
      <c r="E174" s="47"/>
      <c r="F174" s="47"/>
      <c r="G174" s="50" t="s">
        <v>1535</v>
      </c>
      <c r="H174" s="52"/>
      <c r="I174" s="52"/>
      <c r="J174" s="52"/>
      <c r="K174" s="24">
        <f t="shared" si="74"/>
        <v>0</v>
      </c>
      <c r="L174" s="24">
        <f t="shared" si="75"/>
        <v>0</v>
      </c>
      <c r="M174" s="47"/>
      <c r="N174" s="52"/>
    </row>
    <row r="175" ht="20.1" customHeight="1" spans="1:14">
      <c r="A175" s="47"/>
      <c r="B175" s="47"/>
      <c r="C175" s="47"/>
      <c r="D175" s="47"/>
      <c r="E175" s="47"/>
      <c r="F175" s="47"/>
      <c r="G175" s="50" t="s">
        <v>1536</v>
      </c>
      <c r="H175" s="52"/>
      <c r="I175" s="52"/>
      <c r="J175" s="52"/>
      <c r="K175" s="24">
        <f t="shared" si="74"/>
        <v>0</v>
      </c>
      <c r="L175" s="24">
        <f t="shared" si="75"/>
        <v>0</v>
      </c>
      <c r="M175" s="47"/>
      <c r="N175" s="52"/>
    </row>
    <row r="176" ht="20.1" customHeight="1" spans="1:14">
      <c r="A176" s="47"/>
      <c r="B176" s="47"/>
      <c r="C176" s="47"/>
      <c r="D176" s="47"/>
      <c r="E176" s="47"/>
      <c r="F176" s="47"/>
      <c r="G176" s="50" t="s">
        <v>1537</v>
      </c>
      <c r="H176" s="52"/>
      <c r="I176" s="52"/>
      <c r="J176" s="52"/>
      <c r="K176" s="24">
        <f t="shared" si="74"/>
        <v>0</v>
      </c>
      <c r="L176" s="24">
        <f t="shared" si="75"/>
        <v>0</v>
      </c>
      <c r="M176" s="47"/>
      <c r="N176" s="52"/>
    </row>
    <row r="177" ht="20.1" customHeight="1" spans="1:14">
      <c r="A177" s="47"/>
      <c r="B177" s="47"/>
      <c r="C177" s="47"/>
      <c r="D177" s="47"/>
      <c r="E177" s="47"/>
      <c r="F177" s="47"/>
      <c r="G177" s="50" t="s">
        <v>1538</v>
      </c>
      <c r="H177" s="52"/>
      <c r="I177" s="52"/>
      <c r="J177" s="52"/>
      <c r="K177" s="24">
        <f t="shared" si="74"/>
        <v>0</v>
      </c>
      <c r="L177" s="24">
        <f t="shared" si="75"/>
        <v>0</v>
      </c>
      <c r="M177" s="47"/>
      <c r="N177" s="52"/>
    </row>
    <row r="178" ht="20.1" customHeight="1" spans="1:14">
      <c r="A178" s="47"/>
      <c r="B178" s="47"/>
      <c r="C178" s="47"/>
      <c r="D178" s="47"/>
      <c r="E178" s="47"/>
      <c r="F178" s="47"/>
      <c r="G178" s="50" t="s">
        <v>1539</v>
      </c>
      <c r="H178" s="52"/>
      <c r="I178" s="52"/>
      <c r="J178" s="52"/>
      <c r="K178" s="24">
        <f t="shared" si="74"/>
        <v>0</v>
      </c>
      <c r="L178" s="24">
        <f t="shared" si="75"/>
        <v>0</v>
      </c>
      <c r="M178" s="47"/>
      <c r="N178" s="52"/>
    </row>
    <row r="179" ht="20.1" customHeight="1" spans="1:14">
      <c r="A179" s="47"/>
      <c r="B179" s="47"/>
      <c r="C179" s="47"/>
      <c r="D179" s="47"/>
      <c r="E179" s="47"/>
      <c r="F179" s="47"/>
      <c r="G179" s="50" t="s">
        <v>1540</v>
      </c>
      <c r="H179" s="52"/>
      <c r="I179" s="52"/>
      <c r="J179" s="52"/>
      <c r="K179" s="24">
        <f t="shared" si="74"/>
        <v>0</v>
      </c>
      <c r="L179" s="24">
        <f t="shared" si="75"/>
        <v>0</v>
      </c>
      <c r="M179" s="47"/>
      <c r="N179" s="52"/>
    </row>
    <row r="180" ht="20.1" customHeight="1" spans="1:14">
      <c r="A180" s="47"/>
      <c r="B180" s="47"/>
      <c r="C180" s="47"/>
      <c r="D180" s="47"/>
      <c r="E180" s="47"/>
      <c r="F180" s="47"/>
      <c r="G180" s="50" t="s">
        <v>1541</v>
      </c>
      <c r="H180" s="52"/>
      <c r="I180" s="52"/>
      <c r="J180" s="52"/>
      <c r="K180" s="24">
        <f t="shared" si="74"/>
        <v>0</v>
      </c>
      <c r="L180" s="24">
        <f t="shared" si="75"/>
        <v>0</v>
      </c>
      <c r="M180" s="47"/>
      <c r="N180" s="52"/>
    </row>
    <row r="181" ht="20.1" customHeight="1" spans="1:14">
      <c r="A181" s="47"/>
      <c r="B181" s="47"/>
      <c r="C181" s="47"/>
      <c r="D181" s="47"/>
      <c r="E181" s="47"/>
      <c r="F181" s="47"/>
      <c r="G181" s="50" t="s">
        <v>1542</v>
      </c>
      <c r="H181" s="74">
        <f>SUM(H182:H187,H189:H191)</f>
        <v>96</v>
      </c>
      <c r="I181" s="74">
        <f>SUM(I182:I187,I189:I191)</f>
        <v>263</v>
      </c>
      <c r="J181" s="74">
        <f t="shared" ref="I181:J181" si="94">SUM(J182:J187,J189:J191)</f>
        <v>251</v>
      </c>
      <c r="K181" s="24">
        <f t="shared" si="74"/>
        <v>261.458333333333</v>
      </c>
      <c r="L181" s="24">
        <f t="shared" si="75"/>
        <v>95.4372623574145</v>
      </c>
      <c r="M181" s="47"/>
      <c r="N181" s="74">
        <f t="shared" ref="N181" si="95">SUM(N182:N187,N189:N191)</f>
        <v>0</v>
      </c>
    </row>
    <row r="182" ht="20.1" customHeight="1" spans="1:14">
      <c r="A182" s="47"/>
      <c r="B182" s="47"/>
      <c r="C182" s="47"/>
      <c r="D182" s="47"/>
      <c r="E182" s="47"/>
      <c r="F182" s="47"/>
      <c r="G182" s="50" t="s">
        <v>1543</v>
      </c>
      <c r="H182" s="52">
        <v>74</v>
      </c>
      <c r="I182" s="52">
        <v>112</v>
      </c>
      <c r="J182" s="52">
        <f>18+164</f>
        <v>182</v>
      </c>
      <c r="K182" s="24">
        <f t="shared" si="74"/>
        <v>245.945945945946</v>
      </c>
      <c r="L182" s="24">
        <f t="shared" si="75"/>
        <v>162.5</v>
      </c>
      <c r="M182" s="47"/>
      <c r="N182" s="52"/>
    </row>
    <row r="183" ht="20.1" customHeight="1" spans="1:14">
      <c r="A183" s="47"/>
      <c r="B183" s="47"/>
      <c r="C183" s="47"/>
      <c r="D183" s="47"/>
      <c r="E183" s="47"/>
      <c r="F183" s="47"/>
      <c r="G183" s="50" t="s">
        <v>1544</v>
      </c>
      <c r="H183" s="52">
        <v>4</v>
      </c>
      <c r="I183" s="52">
        <v>24</v>
      </c>
      <c r="J183" s="52">
        <v>7</v>
      </c>
      <c r="K183" s="24">
        <f t="shared" si="74"/>
        <v>175</v>
      </c>
      <c r="L183" s="24">
        <f t="shared" si="75"/>
        <v>29.1666666666667</v>
      </c>
      <c r="M183" s="47"/>
      <c r="N183" s="52"/>
    </row>
    <row r="184" ht="20.1" customHeight="1" spans="1:14">
      <c r="A184" s="47"/>
      <c r="B184" s="47"/>
      <c r="C184" s="47"/>
      <c r="D184" s="47"/>
      <c r="E184" s="47"/>
      <c r="F184" s="47"/>
      <c r="G184" s="50" t="s">
        <v>1545</v>
      </c>
      <c r="H184" s="52"/>
      <c r="I184" s="52">
        <v>6</v>
      </c>
      <c r="J184" s="52">
        <v>6</v>
      </c>
      <c r="K184" s="24">
        <f t="shared" si="74"/>
        <v>0</v>
      </c>
      <c r="L184" s="24">
        <f t="shared" si="75"/>
        <v>100</v>
      </c>
      <c r="M184" s="47"/>
      <c r="N184" s="52"/>
    </row>
    <row r="185" ht="20.1" customHeight="1" spans="1:14">
      <c r="A185" s="47"/>
      <c r="B185" s="47"/>
      <c r="C185" s="47"/>
      <c r="D185" s="47"/>
      <c r="E185" s="47"/>
      <c r="F185" s="47"/>
      <c r="G185" s="50" t="s">
        <v>1546</v>
      </c>
      <c r="H185" s="52"/>
      <c r="I185" s="52">
        <v>0</v>
      </c>
      <c r="J185" s="52"/>
      <c r="K185" s="24">
        <f t="shared" si="74"/>
        <v>0</v>
      </c>
      <c r="L185" s="24">
        <f t="shared" si="75"/>
        <v>0</v>
      </c>
      <c r="M185" s="47"/>
      <c r="N185" s="52"/>
    </row>
    <row r="186" ht="20.1" customHeight="1" spans="1:14">
      <c r="A186" s="47"/>
      <c r="B186" s="47"/>
      <c r="C186" s="47"/>
      <c r="D186" s="47"/>
      <c r="E186" s="47"/>
      <c r="F186" s="47"/>
      <c r="G186" s="50" t="s">
        <v>1547</v>
      </c>
      <c r="H186" s="52">
        <v>18</v>
      </c>
      <c r="I186" s="52">
        <v>65</v>
      </c>
      <c r="J186" s="52">
        <f>21+2</f>
        <v>23</v>
      </c>
      <c r="K186" s="24">
        <f t="shared" si="74"/>
        <v>127.777777777778</v>
      </c>
      <c r="L186" s="24">
        <f t="shared" si="75"/>
        <v>35.3846153846154</v>
      </c>
      <c r="M186" s="47"/>
      <c r="N186" s="52"/>
    </row>
    <row r="187" ht="20.1" customHeight="1" spans="1:14">
      <c r="A187" s="47"/>
      <c r="B187" s="47"/>
      <c r="C187" s="47"/>
      <c r="D187" s="47"/>
      <c r="E187" s="47"/>
      <c r="F187" s="47"/>
      <c r="G187" s="50" t="s">
        <v>1548</v>
      </c>
      <c r="H187" s="52"/>
      <c r="I187" s="52"/>
      <c r="J187" s="52"/>
      <c r="K187" s="24">
        <f t="shared" si="74"/>
        <v>0</v>
      </c>
      <c r="L187" s="24">
        <f t="shared" si="75"/>
        <v>0</v>
      </c>
      <c r="M187" s="47"/>
      <c r="N187" s="74">
        <f t="shared" ref="N187" si="96">N188</f>
        <v>0</v>
      </c>
    </row>
    <row r="188" ht="20.1" customHeight="1" spans="1:14">
      <c r="A188" s="47"/>
      <c r="B188" s="47"/>
      <c r="C188" s="47"/>
      <c r="D188" s="47"/>
      <c r="E188" s="47"/>
      <c r="F188" s="47"/>
      <c r="G188" s="77" t="s">
        <v>1549</v>
      </c>
      <c r="H188" s="52"/>
      <c r="I188" s="52">
        <v>0</v>
      </c>
      <c r="J188" s="52"/>
      <c r="K188" s="24">
        <f t="shared" si="74"/>
        <v>0</v>
      </c>
      <c r="L188" s="24">
        <f t="shared" si="75"/>
        <v>0</v>
      </c>
      <c r="M188" s="47"/>
      <c r="N188" s="52"/>
    </row>
    <row r="189" ht="20.1" customHeight="1" spans="1:14">
      <c r="A189" s="47"/>
      <c r="B189" s="47"/>
      <c r="C189" s="47"/>
      <c r="D189" s="47"/>
      <c r="E189" s="47"/>
      <c r="F189" s="47"/>
      <c r="G189" s="50" t="s">
        <v>1550</v>
      </c>
      <c r="H189" s="52"/>
      <c r="I189" s="52">
        <v>0</v>
      </c>
      <c r="J189" s="52"/>
      <c r="K189" s="24">
        <f t="shared" si="74"/>
        <v>0</v>
      </c>
      <c r="L189" s="24">
        <f t="shared" si="75"/>
        <v>0</v>
      </c>
      <c r="M189" s="47"/>
      <c r="N189" s="52"/>
    </row>
    <row r="190" ht="20.1" customHeight="1" spans="1:14">
      <c r="A190" s="47"/>
      <c r="B190" s="47"/>
      <c r="C190" s="47"/>
      <c r="D190" s="47"/>
      <c r="E190" s="47"/>
      <c r="F190" s="47"/>
      <c r="G190" s="50" t="s">
        <v>1551</v>
      </c>
      <c r="H190" s="52"/>
      <c r="I190" s="52">
        <v>56</v>
      </c>
      <c r="J190" s="52">
        <v>33</v>
      </c>
      <c r="K190" s="24">
        <f t="shared" si="74"/>
        <v>0</v>
      </c>
      <c r="L190" s="24">
        <f t="shared" si="75"/>
        <v>58.9285714285714</v>
      </c>
      <c r="M190" s="47"/>
      <c r="N190" s="52"/>
    </row>
    <row r="191" ht="20.1" customHeight="1" spans="1:14">
      <c r="A191" s="47"/>
      <c r="B191" s="47"/>
      <c r="C191" s="47"/>
      <c r="D191" s="47"/>
      <c r="E191" s="47"/>
      <c r="F191" s="47"/>
      <c r="G191" s="50" t="s">
        <v>1552</v>
      </c>
      <c r="H191" s="52"/>
      <c r="I191" s="52"/>
      <c r="J191" s="52"/>
      <c r="K191" s="24">
        <f t="shared" si="74"/>
        <v>0</v>
      </c>
      <c r="L191" s="24">
        <f t="shared" si="75"/>
        <v>0</v>
      </c>
      <c r="M191" s="47"/>
      <c r="N191" s="52"/>
    </row>
    <row r="192" ht="20.1" customHeight="1" spans="1:14">
      <c r="A192" s="47"/>
      <c r="B192" s="47"/>
      <c r="C192" s="47"/>
      <c r="D192" s="47"/>
      <c r="E192" s="47"/>
      <c r="F192" s="47"/>
      <c r="G192" s="48" t="s">
        <v>1553</v>
      </c>
      <c r="H192" s="74">
        <f>SUM(H193:H207)</f>
        <v>400</v>
      </c>
      <c r="I192" s="74">
        <f t="shared" ref="I192:J192" si="97">SUM(I193:I207)</f>
        <v>477</v>
      </c>
      <c r="J192" s="74">
        <f t="shared" si="97"/>
        <v>358</v>
      </c>
      <c r="K192" s="24">
        <f t="shared" si="74"/>
        <v>89.5</v>
      </c>
      <c r="L192" s="24">
        <f t="shared" si="75"/>
        <v>75.0524109014675</v>
      </c>
      <c r="M192" s="47"/>
      <c r="N192" s="74">
        <f t="shared" ref="N192" si="98">SUM(N193:N207)</f>
        <v>0</v>
      </c>
    </row>
    <row r="193" ht="20.1" customHeight="1" spans="1:14">
      <c r="A193" s="47"/>
      <c r="B193" s="47"/>
      <c r="C193" s="47"/>
      <c r="D193" s="47"/>
      <c r="E193" s="47"/>
      <c r="F193" s="47"/>
      <c r="G193" s="48" t="s">
        <v>1554</v>
      </c>
      <c r="H193" s="52"/>
      <c r="I193" s="52"/>
      <c r="J193" s="52"/>
      <c r="K193" s="24">
        <f t="shared" si="74"/>
        <v>0</v>
      </c>
      <c r="L193" s="24">
        <f t="shared" si="75"/>
        <v>0</v>
      </c>
      <c r="M193" s="47"/>
      <c r="N193" s="52"/>
    </row>
    <row r="194" ht="20.1" customHeight="1" spans="1:14">
      <c r="A194" s="47"/>
      <c r="B194" s="47"/>
      <c r="C194" s="47"/>
      <c r="D194" s="47"/>
      <c r="E194" s="47"/>
      <c r="F194" s="47"/>
      <c r="G194" s="48" t="s">
        <v>1555</v>
      </c>
      <c r="H194" s="52"/>
      <c r="I194" s="52"/>
      <c r="J194" s="52"/>
      <c r="K194" s="24">
        <f t="shared" si="74"/>
        <v>0</v>
      </c>
      <c r="L194" s="24">
        <f t="shared" si="75"/>
        <v>0</v>
      </c>
      <c r="M194" s="47"/>
      <c r="N194" s="52"/>
    </row>
    <row r="195" ht="20.1" customHeight="1" spans="1:14">
      <c r="A195" s="47"/>
      <c r="B195" s="47"/>
      <c r="C195" s="47"/>
      <c r="D195" s="47"/>
      <c r="E195" s="47"/>
      <c r="F195" s="47"/>
      <c r="G195" s="48" t="s">
        <v>1556</v>
      </c>
      <c r="H195" s="52">
        <v>400</v>
      </c>
      <c r="I195" s="52"/>
      <c r="J195" s="52"/>
      <c r="K195" s="24">
        <f t="shared" si="74"/>
        <v>0</v>
      </c>
      <c r="L195" s="24">
        <f t="shared" si="75"/>
        <v>0</v>
      </c>
      <c r="M195" s="47"/>
      <c r="N195" s="52"/>
    </row>
    <row r="196" ht="20.1" customHeight="1" spans="1:14">
      <c r="A196" s="47"/>
      <c r="B196" s="47"/>
      <c r="C196" s="47"/>
      <c r="D196" s="47"/>
      <c r="E196" s="47"/>
      <c r="F196" s="47"/>
      <c r="G196" s="48" t="s">
        <v>1557</v>
      </c>
      <c r="H196" s="52"/>
      <c r="I196" s="52"/>
      <c r="J196" s="52"/>
      <c r="K196" s="24">
        <f t="shared" si="74"/>
        <v>0</v>
      </c>
      <c r="L196" s="24">
        <f t="shared" si="75"/>
        <v>0</v>
      </c>
      <c r="M196" s="47"/>
      <c r="N196" s="52"/>
    </row>
    <row r="197" ht="20.1" customHeight="1" spans="1:14">
      <c r="A197" s="47"/>
      <c r="B197" s="47"/>
      <c r="C197" s="47"/>
      <c r="D197" s="47"/>
      <c r="E197" s="47"/>
      <c r="F197" s="47"/>
      <c r="G197" s="48" t="s">
        <v>1558</v>
      </c>
      <c r="H197" s="52"/>
      <c r="I197" s="52"/>
      <c r="J197" s="52"/>
      <c r="K197" s="24">
        <f t="shared" si="74"/>
        <v>0</v>
      </c>
      <c r="L197" s="24">
        <f t="shared" si="75"/>
        <v>0</v>
      </c>
      <c r="M197" s="47"/>
      <c r="N197" s="52"/>
    </row>
    <row r="198" ht="20.1" customHeight="1" spans="1:14">
      <c r="A198" s="47"/>
      <c r="B198" s="47"/>
      <c r="C198" s="47"/>
      <c r="D198" s="47"/>
      <c r="E198" s="47"/>
      <c r="F198" s="47"/>
      <c r="G198" s="48" t="s">
        <v>1559</v>
      </c>
      <c r="H198" s="52"/>
      <c r="I198" s="52"/>
      <c r="J198" s="52"/>
      <c r="K198" s="24">
        <f t="shared" si="74"/>
        <v>0</v>
      </c>
      <c r="L198" s="24">
        <f t="shared" si="75"/>
        <v>0</v>
      </c>
      <c r="M198" s="47"/>
      <c r="N198" s="52"/>
    </row>
    <row r="199" ht="20.1" customHeight="1" spans="1:14">
      <c r="A199" s="47"/>
      <c r="B199" s="47"/>
      <c r="C199" s="47"/>
      <c r="D199" s="47"/>
      <c r="E199" s="47"/>
      <c r="F199" s="47"/>
      <c r="G199" s="48" t="s">
        <v>1560</v>
      </c>
      <c r="H199" s="52"/>
      <c r="I199" s="52"/>
      <c r="J199" s="52"/>
      <c r="K199" s="24">
        <f t="shared" si="74"/>
        <v>0</v>
      </c>
      <c r="L199" s="24">
        <f t="shared" si="75"/>
        <v>0</v>
      </c>
      <c r="M199" s="47"/>
      <c r="N199" s="52"/>
    </row>
    <row r="200" ht="20.1" customHeight="1" spans="1:14">
      <c r="A200" s="47"/>
      <c r="B200" s="47"/>
      <c r="C200" s="47"/>
      <c r="D200" s="47"/>
      <c r="E200" s="47"/>
      <c r="F200" s="47"/>
      <c r="G200" s="48" t="s">
        <v>1561</v>
      </c>
      <c r="H200" s="52"/>
      <c r="I200" s="52"/>
      <c r="J200" s="52"/>
      <c r="K200" s="24">
        <f t="shared" ref="K200:K244" si="99">IF(H200&gt;0,J200/H200*100,)</f>
        <v>0</v>
      </c>
      <c r="L200" s="24">
        <f t="shared" ref="L200:L244" si="100">IF(I200&gt;0,J200/I200*100,)</f>
        <v>0</v>
      </c>
      <c r="M200" s="47"/>
      <c r="N200" s="52"/>
    </row>
    <row r="201" ht="20.1" customHeight="1" spans="1:14">
      <c r="A201" s="47"/>
      <c r="B201" s="47"/>
      <c r="C201" s="47"/>
      <c r="D201" s="47"/>
      <c r="E201" s="47"/>
      <c r="F201" s="47"/>
      <c r="G201" s="48" t="s">
        <v>1562</v>
      </c>
      <c r="H201" s="52"/>
      <c r="I201" s="52"/>
      <c r="J201" s="52"/>
      <c r="K201" s="24">
        <f t="shared" si="99"/>
        <v>0</v>
      </c>
      <c r="L201" s="24">
        <f t="shared" si="100"/>
        <v>0</v>
      </c>
      <c r="M201" s="47"/>
      <c r="N201" s="52"/>
    </row>
    <row r="202" ht="20.1" customHeight="1" spans="1:14">
      <c r="A202" s="47"/>
      <c r="B202" s="47"/>
      <c r="C202" s="47"/>
      <c r="D202" s="47"/>
      <c r="E202" s="47"/>
      <c r="F202" s="47"/>
      <c r="G202" s="48" t="s">
        <v>1563</v>
      </c>
      <c r="H202" s="52"/>
      <c r="I202" s="52"/>
      <c r="J202" s="52"/>
      <c r="K202" s="24">
        <f t="shared" si="99"/>
        <v>0</v>
      </c>
      <c r="L202" s="24">
        <f t="shared" si="100"/>
        <v>0</v>
      </c>
      <c r="M202" s="47"/>
      <c r="N202" s="52"/>
    </row>
    <row r="203" ht="20.1" customHeight="1" spans="1:14">
      <c r="A203" s="47"/>
      <c r="B203" s="47"/>
      <c r="C203" s="47"/>
      <c r="D203" s="47"/>
      <c r="E203" s="47"/>
      <c r="F203" s="47"/>
      <c r="G203" s="48" t="s">
        <v>1564</v>
      </c>
      <c r="H203" s="52"/>
      <c r="I203" s="52">
        <v>261</v>
      </c>
      <c r="J203" s="52">
        <v>262</v>
      </c>
      <c r="K203" s="24">
        <f t="shared" si="99"/>
        <v>0</v>
      </c>
      <c r="L203" s="24">
        <f t="shared" si="100"/>
        <v>100.383141762452</v>
      </c>
      <c r="M203" s="47"/>
      <c r="N203" s="52"/>
    </row>
    <row r="204" ht="20.1" customHeight="1" spans="1:14">
      <c r="A204" s="47"/>
      <c r="B204" s="47"/>
      <c r="C204" s="47"/>
      <c r="D204" s="47"/>
      <c r="E204" s="47"/>
      <c r="F204" s="47"/>
      <c r="G204" s="48" t="s">
        <v>1565</v>
      </c>
      <c r="H204" s="52"/>
      <c r="I204" s="52"/>
      <c r="J204" s="52"/>
      <c r="K204" s="24">
        <f t="shared" si="99"/>
        <v>0</v>
      </c>
      <c r="L204" s="24">
        <f t="shared" si="100"/>
        <v>0</v>
      </c>
      <c r="M204" s="47"/>
      <c r="N204" s="52"/>
    </row>
    <row r="205" ht="20.1" customHeight="1" spans="1:14">
      <c r="A205" s="47"/>
      <c r="B205" s="47"/>
      <c r="C205" s="47"/>
      <c r="D205" s="47"/>
      <c r="E205" s="47"/>
      <c r="F205" s="47"/>
      <c r="G205" s="48" t="s">
        <v>1566</v>
      </c>
      <c r="H205" s="52"/>
      <c r="I205" s="52">
        <v>94</v>
      </c>
      <c r="J205" s="52">
        <f>181-141</f>
        <v>40</v>
      </c>
      <c r="K205" s="24">
        <f t="shared" si="99"/>
        <v>0</v>
      </c>
      <c r="L205" s="24">
        <f t="shared" si="100"/>
        <v>42.5531914893617</v>
      </c>
      <c r="M205" s="47"/>
      <c r="N205" s="52"/>
    </row>
    <row r="206" ht="20.1" customHeight="1" spans="1:14">
      <c r="A206" s="47"/>
      <c r="B206" s="47"/>
      <c r="C206" s="47"/>
      <c r="D206" s="47"/>
      <c r="E206" s="47"/>
      <c r="F206" s="47"/>
      <c r="G206" s="48" t="s">
        <v>1567</v>
      </c>
      <c r="H206" s="52"/>
      <c r="I206" s="52">
        <v>122</v>
      </c>
      <c r="J206" s="52">
        <v>56</v>
      </c>
      <c r="K206" s="24">
        <f t="shared" si="99"/>
        <v>0</v>
      </c>
      <c r="L206" s="24">
        <f t="shared" si="100"/>
        <v>45.9016393442623</v>
      </c>
      <c r="M206" s="47"/>
      <c r="N206" s="52"/>
    </row>
    <row r="207" ht="20.1" customHeight="1" spans="1:14">
      <c r="A207" s="47"/>
      <c r="B207" s="47"/>
      <c r="C207" s="47"/>
      <c r="D207" s="47"/>
      <c r="E207" s="47"/>
      <c r="F207" s="47"/>
      <c r="G207" s="48" t="s">
        <v>1568</v>
      </c>
      <c r="H207" s="52"/>
      <c r="I207" s="52"/>
      <c r="J207" s="52"/>
      <c r="K207" s="24">
        <f t="shared" si="99"/>
        <v>0</v>
      </c>
      <c r="L207" s="24">
        <f t="shared" si="100"/>
        <v>0</v>
      </c>
      <c r="M207" s="47"/>
      <c r="N207" s="52"/>
    </row>
    <row r="208" ht="20.1" customHeight="1" spans="1:14">
      <c r="A208" s="47"/>
      <c r="B208" s="47"/>
      <c r="C208" s="47"/>
      <c r="D208" s="47"/>
      <c r="E208" s="47"/>
      <c r="F208" s="47"/>
      <c r="G208" s="48" t="s">
        <v>1569</v>
      </c>
      <c r="H208" s="74">
        <f>SUM(H209:H223)</f>
        <v>30</v>
      </c>
      <c r="I208" s="74">
        <f t="shared" ref="I208:J208" si="101">SUM(I209:I223)</f>
        <v>0</v>
      </c>
      <c r="J208" s="74">
        <f t="shared" si="101"/>
        <v>51</v>
      </c>
      <c r="K208" s="24">
        <f t="shared" si="99"/>
        <v>170</v>
      </c>
      <c r="L208" s="24">
        <f t="shared" si="100"/>
        <v>0</v>
      </c>
      <c r="M208" s="47"/>
      <c r="N208" s="74">
        <f t="shared" ref="N208" si="102">SUM(N209:N223)</f>
        <v>0</v>
      </c>
    </row>
    <row r="209" ht="20.1" customHeight="1" spans="1:14">
      <c r="A209" s="47"/>
      <c r="B209" s="47"/>
      <c r="C209" s="47"/>
      <c r="D209" s="47"/>
      <c r="E209" s="47"/>
      <c r="F209" s="47"/>
      <c r="G209" s="48" t="s">
        <v>1570</v>
      </c>
      <c r="H209" s="52"/>
      <c r="I209" s="52"/>
      <c r="J209" s="52"/>
      <c r="K209" s="24">
        <f t="shared" si="99"/>
        <v>0</v>
      </c>
      <c r="L209" s="24">
        <f t="shared" si="100"/>
        <v>0</v>
      </c>
      <c r="M209" s="47"/>
      <c r="N209" s="52"/>
    </row>
    <row r="210" ht="20.1" customHeight="1" spans="1:14">
      <c r="A210" s="47"/>
      <c r="B210" s="47"/>
      <c r="C210" s="47"/>
      <c r="D210" s="47"/>
      <c r="E210" s="47"/>
      <c r="F210" s="47"/>
      <c r="G210" s="48" t="s">
        <v>1571</v>
      </c>
      <c r="H210" s="52"/>
      <c r="I210" s="52"/>
      <c r="J210" s="52"/>
      <c r="K210" s="24">
        <f t="shared" si="99"/>
        <v>0</v>
      </c>
      <c r="L210" s="24">
        <f t="shared" si="100"/>
        <v>0</v>
      </c>
      <c r="M210" s="47"/>
      <c r="N210" s="52"/>
    </row>
    <row r="211" ht="20.1" customHeight="1" spans="1:14">
      <c r="A211" s="47"/>
      <c r="B211" s="47"/>
      <c r="C211" s="47"/>
      <c r="D211" s="47"/>
      <c r="E211" s="47"/>
      <c r="F211" s="47"/>
      <c r="G211" s="48" t="s">
        <v>1572</v>
      </c>
      <c r="H211" s="52">
        <v>30</v>
      </c>
      <c r="I211" s="52"/>
      <c r="J211" s="52"/>
      <c r="K211" s="24">
        <f t="shared" si="99"/>
        <v>0</v>
      </c>
      <c r="L211" s="24">
        <f t="shared" si="100"/>
        <v>0</v>
      </c>
      <c r="M211" s="47"/>
      <c r="N211" s="52"/>
    </row>
    <row r="212" ht="20.1" customHeight="1" spans="1:14">
      <c r="A212" s="47"/>
      <c r="B212" s="47"/>
      <c r="C212" s="47"/>
      <c r="D212" s="47"/>
      <c r="E212" s="47"/>
      <c r="F212" s="47"/>
      <c r="G212" s="48" t="s">
        <v>1573</v>
      </c>
      <c r="H212" s="52"/>
      <c r="I212" s="52"/>
      <c r="J212" s="52"/>
      <c r="K212" s="24">
        <f t="shared" si="99"/>
        <v>0</v>
      </c>
      <c r="L212" s="24">
        <f t="shared" si="100"/>
        <v>0</v>
      </c>
      <c r="M212" s="47"/>
      <c r="N212" s="52"/>
    </row>
    <row r="213" ht="20.1" customHeight="1" spans="1:14">
      <c r="A213" s="47"/>
      <c r="B213" s="47"/>
      <c r="C213" s="47"/>
      <c r="D213" s="47"/>
      <c r="E213" s="47"/>
      <c r="F213" s="47"/>
      <c r="G213" s="48" t="s">
        <v>1574</v>
      </c>
      <c r="H213" s="52"/>
      <c r="I213" s="52"/>
      <c r="J213" s="52"/>
      <c r="K213" s="24">
        <f t="shared" si="99"/>
        <v>0</v>
      </c>
      <c r="L213" s="24">
        <f t="shared" si="100"/>
        <v>0</v>
      </c>
      <c r="M213" s="47"/>
      <c r="N213" s="52"/>
    </row>
    <row r="214" ht="20.1" customHeight="1" spans="1:14">
      <c r="A214" s="47"/>
      <c r="B214" s="47"/>
      <c r="C214" s="47"/>
      <c r="D214" s="47"/>
      <c r="E214" s="47"/>
      <c r="F214" s="47"/>
      <c r="G214" s="48" t="s">
        <v>1575</v>
      </c>
      <c r="H214" s="52"/>
      <c r="I214" s="52"/>
      <c r="J214" s="52"/>
      <c r="K214" s="24">
        <f t="shared" si="99"/>
        <v>0</v>
      </c>
      <c r="L214" s="24">
        <f t="shared" si="100"/>
        <v>0</v>
      </c>
      <c r="M214" s="47"/>
      <c r="N214" s="52"/>
    </row>
    <row r="215" ht="20.1" customHeight="1" spans="1:14">
      <c r="A215" s="47"/>
      <c r="B215" s="47"/>
      <c r="C215" s="47"/>
      <c r="D215" s="47"/>
      <c r="E215" s="47"/>
      <c r="F215" s="47"/>
      <c r="G215" s="48" t="s">
        <v>1576</v>
      </c>
      <c r="H215" s="52"/>
      <c r="I215" s="52"/>
      <c r="J215" s="52"/>
      <c r="K215" s="24">
        <f t="shared" si="99"/>
        <v>0</v>
      </c>
      <c r="L215" s="24">
        <f t="shared" si="100"/>
        <v>0</v>
      </c>
      <c r="M215" s="47"/>
      <c r="N215" s="52"/>
    </row>
    <row r="216" ht="20.1" customHeight="1" spans="1:14">
      <c r="A216" s="47"/>
      <c r="B216" s="47"/>
      <c r="C216" s="47"/>
      <c r="D216" s="47"/>
      <c r="E216" s="47"/>
      <c r="F216" s="47"/>
      <c r="G216" s="48" t="s">
        <v>1577</v>
      </c>
      <c r="H216" s="52"/>
      <c r="I216" s="52"/>
      <c r="J216" s="52"/>
      <c r="K216" s="24">
        <f t="shared" si="99"/>
        <v>0</v>
      </c>
      <c r="L216" s="24">
        <f t="shared" si="100"/>
        <v>0</v>
      </c>
      <c r="M216" s="47"/>
      <c r="N216" s="52"/>
    </row>
    <row r="217" ht="20.1" customHeight="1" spans="1:14">
      <c r="A217" s="47"/>
      <c r="B217" s="47"/>
      <c r="C217" s="47"/>
      <c r="D217" s="47"/>
      <c r="E217" s="47"/>
      <c r="F217" s="47"/>
      <c r="G217" s="48" t="s">
        <v>1578</v>
      </c>
      <c r="H217" s="52"/>
      <c r="I217" s="52"/>
      <c r="J217" s="52"/>
      <c r="K217" s="24">
        <f t="shared" si="99"/>
        <v>0</v>
      </c>
      <c r="L217" s="24">
        <f t="shared" si="100"/>
        <v>0</v>
      </c>
      <c r="M217" s="47"/>
      <c r="N217" s="52"/>
    </row>
    <row r="218" ht="20.1" customHeight="1" spans="1:14">
      <c r="A218" s="47"/>
      <c r="B218" s="47"/>
      <c r="C218" s="47"/>
      <c r="D218" s="47"/>
      <c r="E218" s="47"/>
      <c r="F218" s="47"/>
      <c r="G218" s="48" t="s">
        <v>1579</v>
      </c>
      <c r="H218" s="52"/>
      <c r="I218" s="52"/>
      <c r="J218" s="52"/>
      <c r="K218" s="24">
        <f t="shared" si="99"/>
        <v>0</v>
      </c>
      <c r="L218" s="24">
        <f t="shared" si="100"/>
        <v>0</v>
      </c>
      <c r="M218" s="47"/>
      <c r="N218" s="52"/>
    </row>
    <row r="219" ht="20.1" customHeight="1" spans="1:14">
      <c r="A219" s="47"/>
      <c r="B219" s="47"/>
      <c r="C219" s="47"/>
      <c r="D219" s="47"/>
      <c r="E219" s="47"/>
      <c r="F219" s="47"/>
      <c r="G219" s="48" t="s">
        <v>1580</v>
      </c>
      <c r="H219" s="52"/>
      <c r="I219" s="52"/>
      <c r="J219" s="52"/>
      <c r="K219" s="24">
        <f t="shared" si="99"/>
        <v>0</v>
      </c>
      <c r="L219" s="24">
        <f t="shared" si="100"/>
        <v>0</v>
      </c>
      <c r="M219" s="47"/>
      <c r="N219" s="52"/>
    </row>
    <row r="220" ht="20.1" customHeight="1" spans="1:14">
      <c r="A220" s="47"/>
      <c r="B220" s="47"/>
      <c r="C220" s="47"/>
      <c r="D220" s="47"/>
      <c r="E220" s="47"/>
      <c r="F220" s="47"/>
      <c r="G220" s="48" t="s">
        <v>1581</v>
      </c>
      <c r="H220" s="52"/>
      <c r="I220" s="52"/>
      <c r="J220" s="52"/>
      <c r="K220" s="24">
        <f t="shared" si="99"/>
        <v>0</v>
      </c>
      <c r="L220" s="24">
        <f t="shared" si="100"/>
        <v>0</v>
      </c>
      <c r="M220" s="47"/>
      <c r="N220" s="52"/>
    </row>
    <row r="221" ht="20.1" customHeight="1" spans="1:14">
      <c r="A221" s="47"/>
      <c r="B221" s="47"/>
      <c r="C221" s="47"/>
      <c r="D221" s="47"/>
      <c r="E221" s="47"/>
      <c r="F221" s="47"/>
      <c r="G221" s="48" t="s">
        <v>1582</v>
      </c>
      <c r="H221" s="52"/>
      <c r="I221" s="52"/>
      <c r="J221" s="52"/>
      <c r="K221" s="24">
        <f t="shared" si="99"/>
        <v>0</v>
      </c>
      <c r="L221" s="24">
        <f t="shared" si="100"/>
        <v>0</v>
      </c>
      <c r="M221" s="47"/>
      <c r="N221" s="52"/>
    </row>
    <row r="222" ht="20.1" customHeight="1" spans="1:14">
      <c r="A222" s="47"/>
      <c r="B222" s="47"/>
      <c r="C222" s="47"/>
      <c r="D222" s="47"/>
      <c r="E222" s="47"/>
      <c r="F222" s="47"/>
      <c r="G222" s="48" t="s">
        <v>1583</v>
      </c>
      <c r="H222" s="52"/>
      <c r="I222" s="52"/>
      <c r="J222" s="52">
        <v>51</v>
      </c>
      <c r="K222" s="24">
        <f t="shared" si="99"/>
        <v>0</v>
      </c>
      <c r="L222" s="24">
        <f t="shared" si="100"/>
        <v>0</v>
      </c>
      <c r="M222" s="47"/>
      <c r="N222" s="52"/>
    </row>
    <row r="223" ht="20.1" customHeight="1" spans="1:14">
      <c r="A223" s="47"/>
      <c r="B223" s="47"/>
      <c r="C223" s="47"/>
      <c r="D223" s="47"/>
      <c r="E223" s="47"/>
      <c r="F223" s="47"/>
      <c r="G223" s="48" t="s">
        <v>1584</v>
      </c>
      <c r="H223" s="52"/>
      <c r="I223" s="52"/>
      <c r="J223" s="52"/>
      <c r="K223" s="24">
        <f t="shared" si="99"/>
        <v>0</v>
      </c>
      <c r="L223" s="24">
        <f t="shared" si="100"/>
        <v>0</v>
      </c>
      <c r="M223" s="47"/>
      <c r="N223" s="52"/>
    </row>
    <row r="224" ht="20.1" customHeight="1" spans="1:14">
      <c r="A224" s="47"/>
      <c r="B224" s="47"/>
      <c r="C224" s="47"/>
      <c r="D224" s="47"/>
      <c r="E224" s="47"/>
      <c r="F224" s="47"/>
      <c r="G224" s="48" t="s">
        <v>1585</v>
      </c>
      <c r="H224" s="74">
        <f>H225+H238</f>
        <v>0</v>
      </c>
      <c r="I224" s="74">
        <f t="shared" ref="I224:J224" si="103">I225+I238</f>
        <v>0</v>
      </c>
      <c r="J224" s="74">
        <f t="shared" si="103"/>
        <v>0</v>
      </c>
      <c r="K224" s="24">
        <f t="shared" si="99"/>
        <v>0</v>
      </c>
      <c r="L224" s="24">
        <f t="shared" si="100"/>
        <v>0</v>
      </c>
      <c r="M224" s="47"/>
      <c r="N224" s="74">
        <f t="shared" ref="N224" si="104">N225+N238</f>
        <v>0</v>
      </c>
    </row>
    <row r="225" ht="20.1" customHeight="1" spans="1:14">
      <c r="A225" s="47"/>
      <c r="B225" s="47"/>
      <c r="C225" s="47"/>
      <c r="D225" s="47"/>
      <c r="E225" s="47"/>
      <c r="F225" s="47"/>
      <c r="G225" s="48" t="s">
        <v>1586</v>
      </c>
      <c r="H225" s="74">
        <f>SUM(H226:H237)</f>
        <v>0</v>
      </c>
      <c r="I225" s="74">
        <f t="shared" ref="I225:J225" si="105">SUM(I226:I237)</f>
        <v>0</v>
      </c>
      <c r="J225" s="74">
        <f t="shared" si="105"/>
        <v>0</v>
      </c>
      <c r="K225" s="24">
        <f t="shared" si="99"/>
        <v>0</v>
      </c>
      <c r="L225" s="24">
        <f t="shared" si="100"/>
        <v>0</v>
      </c>
      <c r="M225" s="47"/>
      <c r="N225" s="74">
        <f t="shared" ref="N225" si="106">SUM(N226:N237)</f>
        <v>0</v>
      </c>
    </row>
    <row r="226" ht="20.1" customHeight="1" spans="1:14">
      <c r="A226" s="47"/>
      <c r="B226" s="47"/>
      <c r="C226" s="47"/>
      <c r="D226" s="47"/>
      <c r="E226" s="47"/>
      <c r="F226" s="47"/>
      <c r="G226" s="48" t="s">
        <v>1587</v>
      </c>
      <c r="H226" s="52"/>
      <c r="I226" s="52"/>
      <c r="J226" s="52"/>
      <c r="K226" s="24">
        <f t="shared" si="99"/>
        <v>0</v>
      </c>
      <c r="L226" s="24">
        <f t="shared" si="100"/>
        <v>0</v>
      </c>
      <c r="M226" s="47"/>
      <c r="N226" s="52"/>
    </row>
    <row r="227" ht="20.1" customHeight="1" spans="1:14">
      <c r="A227" s="47"/>
      <c r="B227" s="47"/>
      <c r="C227" s="47"/>
      <c r="D227" s="47"/>
      <c r="E227" s="47"/>
      <c r="F227" s="47"/>
      <c r="G227" s="48" t="s">
        <v>1588</v>
      </c>
      <c r="H227" s="52"/>
      <c r="I227" s="52"/>
      <c r="J227" s="52"/>
      <c r="K227" s="24">
        <f t="shared" si="99"/>
        <v>0</v>
      </c>
      <c r="L227" s="24">
        <f t="shared" si="100"/>
        <v>0</v>
      </c>
      <c r="M227" s="47"/>
      <c r="N227" s="52"/>
    </row>
    <row r="228" ht="20.1" customHeight="1" spans="1:14">
      <c r="A228" s="47"/>
      <c r="B228" s="47"/>
      <c r="C228" s="47"/>
      <c r="D228" s="47"/>
      <c r="E228" s="47"/>
      <c r="F228" s="47"/>
      <c r="G228" s="48" t="s">
        <v>1589</v>
      </c>
      <c r="H228" s="52"/>
      <c r="I228" s="52"/>
      <c r="J228" s="52"/>
      <c r="K228" s="24">
        <f t="shared" si="99"/>
        <v>0</v>
      </c>
      <c r="L228" s="24">
        <f t="shared" si="100"/>
        <v>0</v>
      </c>
      <c r="M228" s="47"/>
      <c r="N228" s="52"/>
    </row>
    <row r="229" ht="20.1" customHeight="1" spans="1:14">
      <c r="A229" s="47"/>
      <c r="B229" s="47"/>
      <c r="C229" s="47"/>
      <c r="D229" s="47"/>
      <c r="E229" s="47"/>
      <c r="F229" s="47"/>
      <c r="G229" s="48" t="s">
        <v>1590</v>
      </c>
      <c r="H229" s="52"/>
      <c r="I229" s="52"/>
      <c r="J229" s="52"/>
      <c r="K229" s="24">
        <f t="shared" si="99"/>
        <v>0</v>
      </c>
      <c r="L229" s="24">
        <f t="shared" si="100"/>
        <v>0</v>
      </c>
      <c r="M229" s="47"/>
      <c r="N229" s="52"/>
    </row>
    <row r="230" ht="20.1" customHeight="1" spans="1:14">
      <c r="A230" s="47"/>
      <c r="B230" s="47"/>
      <c r="C230" s="47"/>
      <c r="D230" s="47"/>
      <c r="E230" s="47"/>
      <c r="F230" s="47"/>
      <c r="G230" s="48" t="s">
        <v>1591</v>
      </c>
      <c r="H230" s="52"/>
      <c r="I230" s="52"/>
      <c r="J230" s="52"/>
      <c r="K230" s="24">
        <f t="shared" si="99"/>
        <v>0</v>
      </c>
      <c r="L230" s="24">
        <f t="shared" si="100"/>
        <v>0</v>
      </c>
      <c r="M230" s="47"/>
      <c r="N230" s="52"/>
    </row>
    <row r="231" ht="20.1" customHeight="1" spans="1:14">
      <c r="A231" s="47"/>
      <c r="B231" s="47"/>
      <c r="C231" s="47"/>
      <c r="D231" s="47"/>
      <c r="E231" s="47"/>
      <c r="F231" s="47"/>
      <c r="G231" s="48" t="s">
        <v>1592</v>
      </c>
      <c r="H231" s="52"/>
      <c r="I231" s="52"/>
      <c r="J231" s="52"/>
      <c r="K231" s="24">
        <f t="shared" si="99"/>
        <v>0</v>
      </c>
      <c r="L231" s="24">
        <f t="shared" si="100"/>
        <v>0</v>
      </c>
      <c r="M231" s="47"/>
      <c r="N231" s="52"/>
    </row>
    <row r="232" ht="20.1" customHeight="1" spans="1:14">
      <c r="A232" s="47"/>
      <c r="B232" s="47"/>
      <c r="C232" s="47"/>
      <c r="D232" s="47"/>
      <c r="E232" s="47"/>
      <c r="F232" s="47"/>
      <c r="G232" s="48" t="s">
        <v>1593</v>
      </c>
      <c r="H232" s="52"/>
      <c r="I232" s="52"/>
      <c r="J232" s="52"/>
      <c r="K232" s="24">
        <f t="shared" si="99"/>
        <v>0</v>
      </c>
      <c r="L232" s="24">
        <f t="shared" si="100"/>
        <v>0</v>
      </c>
      <c r="M232" s="47"/>
      <c r="N232" s="52"/>
    </row>
    <row r="233" ht="20.1" customHeight="1" spans="1:14">
      <c r="A233" s="47"/>
      <c r="B233" s="47"/>
      <c r="C233" s="47"/>
      <c r="D233" s="47"/>
      <c r="E233" s="47"/>
      <c r="F233" s="47"/>
      <c r="G233" s="48" t="s">
        <v>1594</v>
      </c>
      <c r="H233" s="52"/>
      <c r="I233" s="52"/>
      <c r="J233" s="52"/>
      <c r="K233" s="24">
        <f t="shared" si="99"/>
        <v>0</v>
      </c>
      <c r="L233" s="24">
        <f t="shared" si="100"/>
        <v>0</v>
      </c>
      <c r="M233" s="47"/>
      <c r="N233" s="52"/>
    </row>
    <row r="234" ht="20.1" customHeight="1" spans="1:14">
      <c r="A234" s="47"/>
      <c r="B234" s="47"/>
      <c r="C234" s="47"/>
      <c r="D234" s="47"/>
      <c r="E234" s="47"/>
      <c r="F234" s="47"/>
      <c r="G234" s="48" t="s">
        <v>1595</v>
      </c>
      <c r="H234" s="52"/>
      <c r="I234" s="52"/>
      <c r="J234" s="52"/>
      <c r="K234" s="24">
        <f t="shared" si="99"/>
        <v>0</v>
      </c>
      <c r="L234" s="24">
        <f t="shared" si="100"/>
        <v>0</v>
      </c>
      <c r="M234" s="47"/>
      <c r="N234" s="52"/>
    </row>
    <row r="235" ht="20.1" customHeight="1" spans="1:14">
      <c r="A235" s="47"/>
      <c r="B235" s="47"/>
      <c r="C235" s="47"/>
      <c r="D235" s="47"/>
      <c r="E235" s="47"/>
      <c r="F235" s="47"/>
      <c r="G235" s="48" t="s">
        <v>1596</v>
      </c>
      <c r="H235" s="52"/>
      <c r="I235" s="52"/>
      <c r="J235" s="52"/>
      <c r="K235" s="24">
        <f t="shared" si="99"/>
        <v>0</v>
      </c>
      <c r="L235" s="24">
        <f t="shared" si="100"/>
        <v>0</v>
      </c>
      <c r="M235" s="47"/>
      <c r="N235" s="52"/>
    </row>
    <row r="236" ht="20.1" customHeight="1" spans="1:14">
      <c r="A236" s="47"/>
      <c r="B236" s="47"/>
      <c r="C236" s="47"/>
      <c r="D236" s="47"/>
      <c r="E236" s="47"/>
      <c r="F236" s="47"/>
      <c r="G236" s="48" t="s">
        <v>1597</v>
      </c>
      <c r="H236" s="52"/>
      <c r="I236" s="52"/>
      <c r="J236" s="52"/>
      <c r="K236" s="24">
        <f t="shared" si="99"/>
        <v>0</v>
      </c>
      <c r="L236" s="24">
        <f t="shared" si="100"/>
        <v>0</v>
      </c>
      <c r="M236" s="47"/>
      <c r="N236" s="52"/>
    </row>
    <row r="237" ht="20.1" customHeight="1" spans="1:14">
      <c r="A237" s="47"/>
      <c r="B237" s="47"/>
      <c r="C237" s="47"/>
      <c r="D237" s="47"/>
      <c r="E237" s="47"/>
      <c r="F237" s="47"/>
      <c r="G237" s="48" t="s">
        <v>1598</v>
      </c>
      <c r="H237" s="52"/>
      <c r="I237" s="52"/>
      <c r="J237" s="52"/>
      <c r="K237" s="24">
        <f t="shared" si="99"/>
        <v>0</v>
      </c>
      <c r="L237" s="24">
        <f t="shared" si="100"/>
        <v>0</v>
      </c>
      <c r="M237" s="47"/>
      <c r="N237" s="52"/>
    </row>
    <row r="238" ht="20.1" customHeight="1" spans="1:14">
      <c r="A238" s="47"/>
      <c r="B238" s="47"/>
      <c r="C238" s="47"/>
      <c r="D238" s="47"/>
      <c r="E238" s="47"/>
      <c r="F238" s="47"/>
      <c r="G238" s="48" t="s">
        <v>1599</v>
      </c>
      <c r="H238" s="74">
        <f>SUM(H239:H244)</f>
        <v>0</v>
      </c>
      <c r="I238" s="74">
        <f t="shared" ref="I238:J238" si="107">SUM(I239:I244)</f>
        <v>0</v>
      </c>
      <c r="J238" s="74">
        <f t="shared" si="107"/>
        <v>0</v>
      </c>
      <c r="K238" s="24">
        <f t="shared" si="99"/>
        <v>0</v>
      </c>
      <c r="L238" s="24">
        <f t="shared" si="100"/>
        <v>0</v>
      </c>
      <c r="M238" s="47"/>
      <c r="N238" s="74">
        <f t="shared" ref="N238" si="108">SUM(N239:N244)</f>
        <v>0</v>
      </c>
    </row>
    <row r="239" ht="20.1" customHeight="1" spans="1:14">
      <c r="A239" s="47"/>
      <c r="B239" s="47"/>
      <c r="C239" s="47"/>
      <c r="D239" s="47"/>
      <c r="E239" s="47"/>
      <c r="F239" s="47"/>
      <c r="G239" s="48" t="s">
        <v>823</v>
      </c>
      <c r="H239" s="52"/>
      <c r="I239" s="52"/>
      <c r="J239" s="52"/>
      <c r="K239" s="24">
        <f t="shared" si="99"/>
        <v>0</v>
      </c>
      <c r="L239" s="24">
        <f t="shared" si="100"/>
        <v>0</v>
      </c>
      <c r="M239" s="47"/>
      <c r="N239" s="52"/>
    </row>
    <row r="240" ht="20.1" customHeight="1" spans="1:14">
      <c r="A240" s="47"/>
      <c r="B240" s="47"/>
      <c r="C240" s="47"/>
      <c r="D240" s="47"/>
      <c r="E240" s="47"/>
      <c r="F240" s="47"/>
      <c r="G240" s="48" t="s">
        <v>868</v>
      </c>
      <c r="H240" s="52"/>
      <c r="I240" s="52"/>
      <c r="J240" s="52"/>
      <c r="K240" s="24">
        <f t="shared" si="99"/>
        <v>0</v>
      </c>
      <c r="L240" s="24">
        <f t="shared" si="100"/>
        <v>0</v>
      </c>
      <c r="M240" s="47"/>
      <c r="N240" s="52"/>
    </row>
    <row r="241" ht="20.1" customHeight="1" spans="1:14">
      <c r="A241" s="47"/>
      <c r="B241" s="47"/>
      <c r="C241" s="47"/>
      <c r="D241" s="47"/>
      <c r="E241" s="47"/>
      <c r="F241" s="47"/>
      <c r="G241" s="48" t="s">
        <v>1600</v>
      </c>
      <c r="H241" s="52"/>
      <c r="I241" s="52"/>
      <c r="J241" s="52"/>
      <c r="K241" s="24">
        <f t="shared" si="99"/>
        <v>0</v>
      </c>
      <c r="L241" s="24">
        <f t="shared" si="100"/>
        <v>0</v>
      </c>
      <c r="M241" s="47"/>
      <c r="N241" s="52"/>
    </row>
    <row r="242" ht="20.1" customHeight="1" spans="1:14">
      <c r="A242" s="47"/>
      <c r="B242" s="47"/>
      <c r="C242" s="47"/>
      <c r="D242" s="47"/>
      <c r="E242" s="47"/>
      <c r="F242" s="47"/>
      <c r="G242" s="48" t="s">
        <v>1601</v>
      </c>
      <c r="H242" s="52"/>
      <c r="I242" s="52"/>
      <c r="J242" s="52"/>
      <c r="K242" s="24">
        <f t="shared" si="99"/>
        <v>0</v>
      </c>
      <c r="L242" s="24">
        <f t="shared" si="100"/>
        <v>0</v>
      </c>
      <c r="M242" s="47"/>
      <c r="N242" s="52"/>
    </row>
    <row r="243" ht="20.1" customHeight="1" spans="1:14">
      <c r="A243" s="47"/>
      <c r="B243" s="47"/>
      <c r="C243" s="47"/>
      <c r="D243" s="47"/>
      <c r="E243" s="47"/>
      <c r="F243" s="47"/>
      <c r="G243" s="48" t="s">
        <v>1602</v>
      </c>
      <c r="H243" s="52"/>
      <c r="I243" s="52"/>
      <c r="J243" s="52"/>
      <c r="K243" s="24">
        <f t="shared" si="99"/>
        <v>0</v>
      </c>
      <c r="L243" s="24">
        <f t="shared" si="100"/>
        <v>0</v>
      </c>
      <c r="M243" s="47"/>
      <c r="N243" s="52"/>
    </row>
    <row r="244" ht="20.1" customHeight="1" spans="1:14">
      <c r="A244" s="47"/>
      <c r="B244" s="47"/>
      <c r="C244" s="47"/>
      <c r="D244" s="47"/>
      <c r="E244" s="47"/>
      <c r="F244" s="47"/>
      <c r="G244" s="48" t="s">
        <v>1603</v>
      </c>
      <c r="H244" s="52"/>
      <c r="I244" s="52"/>
      <c r="J244" s="52"/>
      <c r="K244" s="24">
        <f t="shared" si="99"/>
        <v>0</v>
      </c>
      <c r="L244" s="24">
        <f t="shared" si="100"/>
        <v>0</v>
      </c>
      <c r="M244" s="47"/>
      <c r="N244" s="52"/>
    </row>
    <row r="245" ht="20.1" customHeight="1" spans="1:14">
      <c r="A245" s="47"/>
      <c r="B245" s="47"/>
      <c r="C245" s="47"/>
      <c r="D245" s="47"/>
      <c r="E245" s="47"/>
      <c r="F245" s="47"/>
      <c r="G245" s="52"/>
      <c r="H245" s="52"/>
      <c r="I245" s="52"/>
      <c r="J245" s="52"/>
      <c r="K245" s="52"/>
      <c r="L245" s="52"/>
      <c r="M245" s="47"/>
      <c r="N245" s="52"/>
    </row>
    <row r="246" ht="20.1" customHeight="1" spans="1:14">
      <c r="A246" s="47"/>
      <c r="B246" s="47"/>
      <c r="C246" s="47"/>
      <c r="D246" s="47"/>
      <c r="E246" s="47"/>
      <c r="F246" s="47"/>
      <c r="G246" s="48"/>
      <c r="H246" s="52"/>
      <c r="I246" s="52"/>
      <c r="J246" s="52"/>
      <c r="K246" s="52"/>
      <c r="L246" s="52"/>
      <c r="M246" s="47"/>
      <c r="N246" s="52"/>
    </row>
    <row r="247" ht="20.1" customHeight="1" spans="1:14">
      <c r="A247" s="47"/>
      <c r="B247" s="47"/>
      <c r="C247" s="47"/>
      <c r="D247" s="47"/>
      <c r="E247" s="47"/>
      <c r="F247" s="47"/>
      <c r="G247" s="48"/>
      <c r="H247" s="52"/>
      <c r="I247" s="52"/>
      <c r="J247" s="52"/>
      <c r="K247" s="52"/>
      <c r="L247" s="52"/>
      <c r="M247" s="47"/>
      <c r="N247" s="52"/>
    </row>
    <row r="248" ht="20.1" customHeight="1" spans="1:14">
      <c r="A248" s="47"/>
      <c r="B248" s="47"/>
      <c r="C248" s="47"/>
      <c r="D248" s="47"/>
      <c r="E248" s="47"/>
      <c r="F248" s="47"/>
      <c r="G248" s="48"/>
      <c r="H248" s="52"/>
      <c r="I248" s="52"/>
      <c r="J248" s="52"/>
      <c r="K248" s="52"/>
      <c r="L248" s="52"/>
      <c r="M248" s="47"/>
      <c r="N248" s="52"/>
    </row>
    <row r="249" ht="20.1" customHeight="1" spans="1:14">
      <c r="A249" s="47"/>
      <c r="B249" s="47"/>
      <c r="C249" s="47"/>
      <c r="D249" s="47"/>
      <c r="E249" s="47"/>
      <c r="F249" s="47"/>
      <c r="G249" s="50"/>
      <c r="H249" s="52"/>
      <c r="I249" s="52"/>
      <c r="J249" s="52"/>
      <c r="K249" s="52"/>
      <c r="L249" s="52"/>
      <c r="M249" s="47"/>
      <c r="N249" s="52"/>
    </row>
    <row r="250" ht="20.1" customHeight="1" spans="1:14">
      <c r="A250" s="47"/>
      <c r="B250" s="47"/>
      <c r="C250" s="47"/>
      <c r="D250" s="47"/>
      <c r="E250" s="47"/>
      <c r="F250" s="47"/>
      <c r="G250" s="50"/>
      <c r="H250" s="52"/>
      <c r="I250" s="52"/>
      <c r="J250" s="52"/>
      <c r="K250" s="52"/>
      <c r="L250" s="52"/>
      <c r="M250" s="47"/>
      <c r="N250" s="52"/>
    </row>
    <row r="251" ht="20.1" customHeight="1" spans="1:14">
      <c r="A251" s="53" t="s">
        <v>63</v>
      </c>
      <c r="B251" s="79">
        <f>SUM(B7,B8,B9,B10,B11,B12,B18,B19,B22,B23,B24,B25,B26,B27,B33,B34)</f>
        <v>37419</v>
      </c>
      <c r="C251" s="79">
        <f t="shared" ref="C251:D251" si="109">SUM(C7,C8,C9,C10,C11,C12,C18,C19,C22,C23,C24,C25,C26,C27,C33,C34)</f>
        <v>24015</v>
      </c>
      <c r="D251" s="79">
        <f t="shared" si="109"/>
        <v>29926</v>
      </c>
      <c r="E251" s="24">
        <f t="shared" ref="E251" si="110">IF(B251&gt;0,D251/B251*100,)</f>
        <v>79.9754135599562</v>
      </c>
      <c r="F251" s="24">
        <f t="shared" ref="F251" si="111">IF(C251&gt;0,D251/C251*100,)</f>
        <v>124.613783052259</v>
      </c>
      <c r="G251" s="53" t="s">
        <v>1021</v>
      </c>
      <c r="H251" s="74">
        <f>H7+H23+H35+H46+H104+H120+H163+H167+H192+H208+H224</f>
        <v>36572</v>
      </c>
      <c r="I251" s="74">
        <f t="shared" ref="I251:J251" si="112">I7+I23+I35+I46+I104+I120+I163+I167+I192+I208+I224</f>
        <v>23009</v>
      </c>
      <c r="J251" s="74">
        <f t="shared" si="112"/>
        <v>26835</v>
      </c>
      <c r="K251" s="24">
        <f t="shared" ref="K251" si="113">IF(H251&gt;0,J251/H251*100,)</f>
        <v>73.3758066280214</v>
      </c>
      <c r="L251" s="24">
        <f t="shared" ref="L251" si="114">IF(I251&gt;0,J251/I251*100,)</f>
        <v>116.628275892042</v>
      </c>
      <c r="M251" s="79">
        <f t="shared" ref="M251" si="115">SUM(M7,M8,M9,M10,M11,M12,M18,M19,M22,M23,M24,M25,M26,M27,M33,M34)</f>
        <v>0</v>
      </c>
      <c r="N251" s="74">
        <f t="shared" ref="N251" si="116">N7+N23+N35+N46+N104+N120+N163+N167+N192+N208+N224</f>
        <v>0</v>
      </c>
    </row>
    <row r="252" ht="20.1" customHeight="1" spans="1:14">
      <c r="A252" s="76" t="s">
        <v>1028</v>
      </c>
      <c r="B252" s="80">
        <f>B253+B254+B255+B256+B258+B259</f>
        <v>4153</v>
      </c>
      <c r="C252" s="80">
        <f t="shared" ref="C252:D252" si="117">C253+C254+C255+C256+C258+C259</f>
        <v>4788</v>
      </c>
      <c r="D252" s="80">
        <f t="shared" si="117"/>
        <v>1909</v>
      </c>
      <c r="E252" s="52"/>
      <c r="F252" s="52"/>
      <c r="G252" s="76" t="s">
        <v>1029</v>
      </c>
      <c r="H252" s="74">
        <f>SUM(H253:H258)</f>
        <v>5000</v>
      </c>
      <c r="I252" s="74">
        <f t="shared" ref="I252:J252" si="118">SUM(I253:I258)</f>
        <v>5794</v>
      </c>
      <c r="J252" s="74">
        <f t="shared" si="118"/>
        <v>5000</v>
      </c>
      <c r="K252" s="52"/>
      <c r="L252" s="52"/>
      <c r="M252" s="80">
        <f t="shared" ref="M252" si="119">M253+M254+M255+M256+M258+M259</f>
        <v>0</v>
      </c>
      <c r="N252" s="74">
        <f t="shared" ref="N252" si="120">SUM(N253:N258)</f>
        <v>0</v>
      </c>
    </row>
    <row r="253" ht="20.1" customHeight="1" spans="1:14">
      <c r="A253" s="52" t="s">
        <v>1604</v>
      </c>
      <c r="B253" s="52">
        <v>497</v>
      </c>
      <c r="C253" s="52">
        <v>1132</v>
      </c>
      <c r="D253" s="52">
        <v>115</v>
      </c>
      <c r="E253" s="52"/>
      <c r="F253" s="52"/>
      <c r="G253" s="52" t="s">
        <v>1605</v>
      </c>
      <c r="H253" s="52"/>
      <c r="I253" s="52"/>
      <c r="J253" s="52"/>
      <c r="K253" s="52"/>
      <c r="L253" s="52"/>
      <c r="M253" s="52"/>
      <c r="N253" s="52"/>
    </row>
    <row r="254" ht="20.1" customHeight="1" spans="1:14">
      <c r="A254" s="52" t="s">
        <v>1606</v>
      </c>
      <c r="B254" s="52"/>
      <c r="C254" s="52"/>
      <c r="D254" s="52"/>
      <c r="E254" s="52"/>
      <c r="F254" s="52"/>
      <c r="G254" s="52" t="s">
        <v>1607</v>
      </c>
      <c r="H254" s="52"/>
      <c r="I254" s="52"/>
      <c r="J254" s="52"/>
      <c r="K254" s="52"/>
      <c r="L254" s="52"/>
      <c r="M254" s="52"/>
      <c r="N254" s="52"/>
    </row>
    <row r="255" ht="20.1" customHeight="1" spans="1:14">
      <c r="A255" s="52" t="s">
        <v>1103</v>
      </c>
      <c r="B255" s="52">
        <v>3656</v>
      </c>
      <c r="C255" s="52">
        <v>3656</v>
      </c>
      <c r="D255" s="52">
        <v>1794</v>
      </c>
      <c r="E255" s="52"/>
      <c r="F255" s="52"/>
      <c r="G255" s="52" t="s">
        <v>1108</v>
      </c>
      <c r="H255" s="52">
        <v>5000</v>
      </c>
      <c r="I255" s="52">
        <v>4000</v>
      </c>
      <c r="J255" s="52">
        <v>5000</v>
      </c>
      <c r="K255" s="52"/>
      <c r="L255" s="52"/>
      <c r="M255" s="52"/>
      <c r="N255" s="52"/>
    </row>
    <row r="256" ht="20.1" customHeight="1" spans="1:14">
      <c r="A256" s="52" t="s">
        <v>1104</v>
      </c>
      <c r="B256" s="52"/>
      <c r="C256" s="52"/>
      <c r="D256" s="52"/>
      <c r="E256" s="52"/>
      <c r="F256" s="52"/>
      <c r="G256" s="52" t="s">
        <v>1608</v>
      </c>
      <c r="H256" s="52"/>
      <c r="I256" s="52">
        <v>1794</v>
      </c>
      <c r="J256" s="52"/>
      <c r="K256" s="52"/>
      <c r="L256" s="52"/>
      <c r="M256" s="52"/>
      <c r="N256" s="52"/>
    </row>
    <row r="257" ht="20.1" customHeight="1" spans="1:14">
      <c r="A257" s="52" t="s">
        <v>1609</v>
      </c>
      <c r="B257" s="52"/>
      <c r="C257" s="52"/>
      <c r="D257" s="52"/>
      <c r="E257" s="52"/>
      <c r="F257" s="52"/>
      <c r="G257" s="81" t="s">
        <v>1610</v>
      </c>
      <c r="H257" s="52"/>
      <c r="I257" s="52"/>
      <c r="J257" s="52"/>
      <c r="K257" s="52"/>
      <c r="L257" s="52"/>
      <c r="M257" s="52"/>
      <c r="N257" s="52"/>
    </row>
    <row r="258" ht="20.1" customHeight="1" spans="1:14">
      <c r="A258" s="81" t="s">
        <v>1611</v>
      </c>
      <c r="B258" s="81"/>
      <c r="C258" s="52"/>
      <c r="D258" s="52"/>
      <c r="E258" s="52"/>
      <c r="F258" s="52"/>
      <c r="G258" s="81" t="s">
        <v>1612</v>
      </c>
      <c r="H258" s="52"/>
      <c r="I258" s="52"/>
      <c r="J258" s="52"/>
      <c r="K258" s="52"/>
      <c r="L258" s="52"/>
      <c r="M258" s="52"/>
      <c r="N258" s="52"/>
    </row>
    <row r="259" ht="20.1" customHeight="1" spans="1:14">
      <c r="A259" s="81" t="s">
        <v>1613</v>
      </c>
      <c r="B259" s="81"/>
      <c r="C259" s="52"/>
      <c r="D259" s="52"/>
      <c r="E259" s="52"/>
      <c r="F259" s="52"/>
      <c r="G259" s="81"/>
      <c r="H259" s="52"/>
      <c r="I259" s="52"/>
      <c r="J259" s="52"/>
      <c r="K259" s="52"/>
      <c r="L259" s="52"/>
      <c r="M259" s="52"/>
      <c r="N259" s="52"/>
    </row>
    <row r="260" ht="20.1" customHeight="1" spans="1:14">
      <c r="A260" s="81"/>
      <c r="B260" s="81"/>
      <c r="C260" s="81"/>
      <c r="D260" s="81"/>
      <c r="E260" s="81"/>
      <c r="F260" s="81"/>
      <c r="G260" s="81"/>
      <c r="H260" s="52"/>
      <c r="I260" s="52"/>
      <c r="J260" s="52"/>
      <c r="K260" s="52"/>
      <c r="L260" s="52"/>
      <c r="M260" s="81"/>
      <c r="N260" s="52"/>
    </row>
    <row r="261" ht="20.1" customHeight="1" spans="1:14">
      <c r="A261" s="81"/>
      <c r="B261" s="81"/>
      <c r="C261" s="81"/>
      <c r="D261" s="81"/>
      <c r="E261" s="81"/>
      <c r="F261" s="81"/>
      <c r="G261" s="81"/>
      <c r="H261" s="52"/>
      <c r="I261" s="52"/>
      <c r="J261" s="52"/>
      <c r="K261" s="52"/>
      <c r="L261" s="52"/>
      <c r="M261" s="81"/>
      <c r="N261" s="52"/>
    </row>
    <row r="262" ht="15.75" customHeight="1" spans="1:14">
      <c r="A262" s="81"/>
      <c r="B262" s="81"/>
      <c r="C262" s="81"/>
      <c r="D262" s="81"/>
      <c r="E262" s="81"/>
      <c r="F262" s="81"/>
      <c r="G262" s="81"/>
      <c r="H262" s="52"/>
      <c r="I262" s="52"/>
      <c r="J262" s="52"/>
      <c r="K262" s="52"/>
      <c r="L262" s="52"/>
      <c r="M262" s="81"/>
      <c r="N262" s="52"/>
    </row>
    <row r="263" ht="20.1" customHeight="1" spans="1:14">
      <c r="A263" s="81"/>
      <c r="B263" s="81"/>
      <c r="C263" s="81"/>
      <c r="D263" s="81"/>
      <c r="E263" s="81"/>
      <c r="F263" s="81"/>
      <c r="G263" s="81"/>
      <c r="H263" s="52"/>
      <c r="I263" s="52"/>
      <c r="J263" s="52"/>
      <c r="K263" s="52"/>
      <c r="L263" s="52"/>
      <c r="M263" s="81"/>
      <c r="N263" s="52"/>
    </row>
    <row r="264" ht="20.1" customHeight="1" spans="1:14">
      <c r="A264" s="53" t="s">
        <v>1125</v>
      </c>
      <c r="B264" s="79">
        <f>B251+B252</f>
        <v>41572</v>
      </c>
      <c r="C264" s="79">
        <f t="shared" ref="C264:D264" si="121">C251+C252</f>
        <v>28803</v>
      </c>
      <c r="D264" s="79">
        <f t="shared" si="121"/>
        <v>31835</v>
      </c>
      <c r="E264" s="53"/>
      <c r="F264" s="53"/>
      <c r="G264" s="53" t="s">
        <v>1126</v>
      </c>
      <c r="H264" s="74">
        <f>H251+H252</f>
        <v>41572</v>
      </c>
      <c r="I264" s="74">
        <f t="shared" ref="I264:J264" si="122">I251+I252</f>
        <v>28803</v>
      </c>
      <c r="J264" s="74">
        <f t="shared" si="122"/>
        <v>31835</v>
      </c>
      <c r="K264" s="52"/>
      <c r="L264" s="52"/>
      <c r="M264" s="79">
        <f t="shared" ref="M264:N264" si="123">M251+M252</f>
        <v>0</v>
      </c>
      <c r="N264" s="74">
        <f t="shared" si="123"/>
        <v>0</v>
      </c>
    </row>
    <row r="265" ht="28.5" customHeight="1" spans="1:12">
      <c r="A265" s="54" t="s">
        <v>1614</v>
      </c>
      <c r="B265" s="54"/>
      <c r="C265" s="54"/>
      <c r="D265" s="54"/>
      <c r="E265" s="54"/>
      <c r="F265" s="54"/>
      <c r="G265" s="54"/>
      <c r="H265" s="54"/>
      <c r="I265" s="54"/>
      <c r="J265" s="54"/>
      <c r="K265" s="54"/>
      <c r="L265" s="54"/>
    </row>
    <row r="266" ht="20.1" customHeight="1" spans="1:6">
      <c r="A266" s="82" t="s">
        <v>1615</v>
      </c>
      <c r="B266" s="83"/>
      <c r="C266" s="83"/>
      <c r="D266" s="84"/>
      <c r="E266" s="85"/>
      <c r="F266" s="85"/>
    </row>
    <row r="267" ht="20.1" customHeight="1" spans="1:6">
      <c r="A267" s="86" t="s">
        <v>1616</v>
      </c>
      <c r="B267" s="83"/>
      <c r="C267" s="83"/>
      <c r="D267" s="84"/>
      <c r="E267" s="85" t="str">
        <f>IF(D255-I256=0,"正确","数据有误，请检查")</f>
        <v>正确</v>
      </c>
      <c r="F267" s="87"/>
    </row>
    <row r="268" ht="20.1" customHeight="1" spans="1:7">
      <c r="A268" s="86" t="s">
        <v>1617</v>
      </c>
      <c r="B268" s="88"/>
      <c r="C268" s="88"/>
      <c r="D268" s="89"/>
      <c r="E268" s="85" t="str">
        <f>IF(B264-H264=0,"正确","数据有误，请检查")</f>
        <v>正确</v>
      </c>
      <c r="F268" s="85" t="str">
        <f>IF(C264-I264=0,"正确","数据有误，请检查")</f>
        <v>正确</v>
      </c>
      <c r="G268" s="85" t="str">
        <f>IF(D264-J264=0,"正确","数据有误，请检查")</f>
        <v>正确</v>
      </c>
    </row>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row r="314" ht="20.1" customHeight="1"/>
    <row r="315" ht="20.1" customHeight="1"/>
    <row r="316" ht="20.1" customHeight="1"/>
    <row r="317" ht="20.1" customHeight="1"/>
  </sheetData>
  <mergeCells count="12">
    <mergeCell ref="A2:L2"/>
    <mergeCell ref="A4:F4"/>
    <mergeCell ref="G4:L4"/>
    <mergeCell ref="D5:F5"/>
    <mergeCell ref="J5:L5"/>
    <mergeCell ref="A265:L265"/>
    <mergeCell ref="A5:A6"/>
    <mergeCell ref="B5:B6"/>
    <mergeCell ref="C5:C6"/>
    <mergeCell ref="G5:G6"/>
    <mergeCell ref="H5:H6"/>
    <mergeCell ref="I5:I6"/>
  </mergeCells>
  <printOptions horizontalCentered="1"/>
  <pageMargins left="0.393700787401575" right="0.393700787401575" top="0.590551181102362" bottom="0.62992125984252" header="0.393700787401575" footer="0.393700787401575"/>
  <pageSetup paperSize="9" scale="71" firstPageNumber="66" fitToHeight="0" orientation="landscape" useFirstPageNumber="1"/>
  <headerFooter differentOddEven="1">
    <oddFooter>&amp;L&amp;16—&amp;P—</oddFooter>
    <evenFooter>&amp;R&amp;16—&amp;P—</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Zeros="0" tabSelected="1" workbookViewId="0">
      <pane ySplit="5" topLeftCell="A8" activePane="bottomLeft" state="frozen"/>
      <selection/>
      <selection pane="bottomLeft" activeCell="B26" sqref="B26"/>
    </sheetView>
  </sheetViews>
  <sheetFormatPr defaultColWidth="9" defaultRowHeight="13.5" outlineLevelCol="7"/>
  <cols>
    <col min="1" max="1" width="48.1" style="59" customWidth="1"/>
    <col min="2" max="4" width="17.2" style="60" customWidth="1"/>
    <col min="5" max="6" width="13.5" style="60" customWidth="1"/>
    <col min="7" max="7" width="21.8" style="61" customWidth="1"/>
    <col min="8" max="16384" width="9" style="59"/>
  </cols>
  <sheetData>
    <row r="1" ht="14.25" spans="1:1">
      <c r="A1" s="62" t="s">
        <v>1618</v>
      </c>
    </row>
    <row r="2" s="58" customFormat="1" ht="22.5" spans="1:7">
      <c r="A2" s="26" t="s">
        <v>1619</v>
      </c>
      <c r="B2" s="37"/>
      <c r="C2" s="37"/>
      <c r="D2" s="37"/>
      <c r="E2" s="37"/>
      <c r="F2" s="37"/>
      <c r="G2" s="63"/>
    </row>
    <row r="3" spans="1:6">
      <c r="A3" s="61" t="s">
        <v>5</v>
      </c>
      <c r="B3" s="64"/>
      <c r="C3" s="64"/>
      <c r="D3" s="64"/>
      <c r="E3" s="64"/>
      <c r="F3" s="65" t="s">
        <v>26</v>
      </c>
    </row>
    <row r="4" ht="33" customHeight="1" spans="1:6">
      <c r="A4" s="66" t="s">
        <v>27</v>
      </c>
      <c r="B4" s="67" t="s">
        <v>28</v>
      </c>
      <c r="C4" s="67" t="s">
        <v>29</v>
      </c>
      <c r="D4" s="67" t="s">
        <v>30</v>
      </c>
      <c r="E4" s="67"/>
      <c r="F4" s="67"/>
    </row>
    <row r="5" ht="45.75" customHeight="1" spans="1:6">
      <c r="A5" s="66"/>
      <c r="B5" s="67"/>
      <c r="C5" s="67"/>
      <c r="D5" s="67" t="s">
        <v>34</v>
      </c>
      <c r="E5" s="68" t="s">
        <v>35</v>
      </c>
      <c r="F5" s="68" t="s">
        <v>36</v>
      </c>
    </row>
    <row r="6" ht="20.1" customHeight="1" spans="1:6">
      <c r="A6" s="47" t="s">
        <v>1372</v>
      </c>
      <c r="B6" s="69"/>
      <c r="C6" s="69"/>
      <c r="D6" s="69"/>
      <c r="E6" s="24">
        <f t="shared" ref="E6:E22" si="0">IF(B6&gt;0,D6/B6*100,)</f>
        <v>0</v>
      </c>
      <c r="F6" s="24">
        <f t="shared" ref="F6:F22" si="1">IF(C6&gt;0,D6/C6*100,)</f>
        <v>0</v>
      </c>
    </row>
    <row r="7" ht="20.1" customHeight="1" spans="1:6">
      <c r="A7" s="47" t="s">
        <v>1374</v>
      </c>
      <c r="B7" s="69"/>
      <c r="C7" s="69"/>
      <c r="D7" s="69"/>
      <c r="E7" s="24">
        <f t="shared" si="0"/>
        <v>0</v>
      </c>
      <c r="F7" s="24">
        <f t="shared" si="1"/>
        <v>0</v>
      </c>
    </row>
    <row r="8" ht="20.1" customHeight="1" spans="1:6">
      <c r="A8" s="47" t="s">
        <v>1376</v>
      </c>
      <c r="B8" s="69"/>
      <c r="C8" s="69"/>
      <c r="D8" s="69"/>
      <c r="E8" s="24">
        <f t="shared" si="0"/>
        <v>0</v>
      </c>
      <c r="F8" s="24">
        <f t="shared" si="1"/>
        <v>0</v>
      </c>
    </row>
    <row r="9" ht="20.1" customHeight="1" spans="1:6">
      <c r="A9" s="47" t="s">
        <v>1378</v>
      </c>
      <c r="B9" s="69"/>
      <c r="C9" s="69"/>
      <c r="D9" s="69"/>
      <c r="E9" s="24">
        <f t="shared" si="0"/>
        <v>0</v>
      </c>
      <c r="F9" s="24">
        <f t="shared" si="1"/>
        <v>0</v>
      </c>
    </row>
    <row r="10" ht="20.1" customHeight="1" spans="1:6">
      <c r="A10" s="47" t="s">
        <v>1380</v>
      </c>
      <c r="B10" s="69"/>
      <c r="C10" s="69"/>
      <c r="D10" s="69"/>
      <c r="E10" s="24">
        <f t="shared" si="0"/>
        <v>0</v>
      </c>
      <c r="F10" s="24">
        <f t="shared" si="1"/>
        <v>0</v>
      </c>
    </row>
    <row r="11" ht="20.1" customHeight="1" spans="1:6">
      <c r="A11" s="47" t="s">
        <v>1382</v>
      </c>
      <c r="B11" s="69"/>
      <c r="C11" s="69"/>
      <c r="D11" s="69"/>
      <c r="E11" s="24">
        <f t="shared" si="0"/>
        <v>0</v>
      </c>
      <c r="F11" s="24">
        <f t="shared" si="1"/>
        <v>0</v>
      </c>
    </row>
    <row r="12" ht="20.1" customHeight="1" spans="1:6">
      <c r="A12" s="47" t="s">
        <v>1394</v>
      </c>
      <c r="B12" s="69"/>
      <c r="C12" s="69"/>
      <c r="D12" s="69"/>
      <c r="E12" s="24">
        <f t="shared" si="0"/>
        <v>0</v>
      </c>
      <c r="F12" s="24">
        <f t="shared" si="1"/>
        <v>0</v>
      </c>
    </row>
    <row r="13" ht="20.1" customHeight="1" spans="1:6">
      <c r="A13" s="47" t="s">
        <v>1396</v>
      </c>
      <c r="B13" s="69"/>
      <c r="C13" s="69"/>
      <c r="D13" s="69"/>
      <c r="E13" s="24">
        <f t="shared" si="0"/>
        <v>0</v>
      </c>
      <c r="F13" s="24">
        <f t="shared" si="1"/>
        <v>0</v>
      </c>
    </row>
    <row r="14" ht="20.1" customHeight="1" spans="1:6">
      <c r="A14" s="47" t="s">
        <v>1402</v>
      </c>
      <c r="B14" s="69"/>
      <c r="C14" s="69"/>
      <c r="D14" s="69"/>
      <c r="E14" s="24">
        <f t="shared" si="0"/>
        <v>0</v>
      </c>
      <c r="F14" s="24">
        <f t="shared" si="1"/>
        <v>0</v>
      </c>
    </row>
    <row r="15" ht="20.1" customHeight="1" spans="1:6">
      <c r="A15" s="47" t="s">
        <v>1404</v>
      </c>
      <c r="B15" s="69"/>
      <c r="C15" s="69"/>
      <c r="D15" s="69"/>
      <c r="E15" s="24">
        <f t="shared" si="0"/>
        <v>0</v>
      </c>
      <c r="F15" s="24">
        <f t="shared" si="1"/>
        <v>0</v>
      </c>
    </row>
    <row r="16" ht="20.1" customHeight="1" spans="1:8">
      <c r="A16" s="47" t="s">
        <v>1406</v>
      </c>
      <c r="B16" s="69"/>
      <c r="C16" s="69"/>
      <c r="D16" s="69"/>
      <c r="E16" s="24">
        <f t="shared" si="0"/>
        <v>0</v>
      </c>
      <c r="F16" s="24">
        <f t="shared" si="1"/>
        <v>0</v>
      </c>
      <c r="H16" s="61"/>
    </row>
    <row r="17" ht="20.1" customHeight="1" spans="1:6">
      <c r="A17" s="47" t="s">
        <v>1408</v>
      </c>
      <c r="B17" s="69"/>
      <c r="C17" s="69"/>
      <c r="D17" s="69"/>
      <c r="E17" s="24">
        <f t="shared" si="0"/>
        <v>0</v>
      </c>
      <c r="F17" s="24">
        <f t="shared" si="1"/>
        <v>0</v>
      </c>
    </row>
    <row r="18" ht="20.1" customHeight="1" spans="1:6">
      <c r="A18" s="47" t="s">
        <v>1410</v>
      </c>
      <c r="B18" s="69"/>
      <c r="C18" s="69"/>
      <c r="D18" s="69"/>
      <c r="E18" s="24">
        <f t="shared" si="0"/>
        <v>0</v>
      </c>
      <c r="F18" s="24">
        <f t="shared" si="1"/>
        <v>0</v>
      </c>
    </row>
    <row r="19" ht="20.1" customHeight="1" spans="1:6">
      <c r="A19" s="47" t="s">
        <v>1412</v>
      </c>
      <c r="B19" s="69"/>
      <c r="C19" s="69"/>
      <c r="D19" s="69"/>
      <c r="E19" s="24">
        <f t="shared" si="0"/>
        <v>0</v>
      </c>
      <c r="F19" s="24">
        <f t="shared" si="1"/>
        <v>0</v>
      </c>
    </row>
    <row r="20" ht="20.1" customHeight="1" spans="1:6">
      <c r="A20" s="47" t="s">
        <v>1422</v>
      </c>
      <c r="B20" s="69"/>
      <c r="C20" s="69"/>
      <c r="D20" s="69"/>
      <c r="E20" s="24">
        <f t="shared" si="0"/>
        <v>0</v>
      </c>
      <c r="F20" s="24">
        <f t="shared" si="1"/>
        <v>0</v>
      </c>
    </row>
    <row r="21" ht="20.1" customHeight="1" spans="1:6">
      <c r="A21" s="52"/>
      <c r="B21" s="70"/>
      <c r="C21" s="70"/>
      <c r="D21" s="70"/>
      <c r="E21" s="24">
        <f t="shared" si="0"/>
        <v>0</v>
      </c>
      <c r="F21" s="24">
        <f t="shared" si="1"/>
        <v>0</v>
      </c>
    </row>
    <row r="22" ht="20.1" customHeight="1" spans="1:6">
      <c r="A22" s="52"/>
      <c r="B22" s="70"/>
      <c r="C22" s="70"/>
      <c r="D22" s="70"/>
      <c r="E22" s="24">
        <f t="shared" si="0"/>
        <v>0</v>
      </c>
      <c r="F22" s="24">
        <f t="shared" si="1"/>
        <v>0</v>
      </c>
    </row>
    <row r="23" ht="20.1" customHeight="1" spans="1:6">
      <c r="A23" s="53" t="s">
        <v>63</v>
      </c>
      <c r="B23" s="71">
        <f>SUM(B6:B20)</f>
        <v>0</v>
      </c>
      <c r="C23" s="71">
        <f t="shared" ref="C23:D23" si="2">SUM(C6:C20)</f>
        <v>0</v>
      </c>
      <c r="D23" s="71">
        <f t="shared" si="2"/>
        <v>0</v>
      </c>
      <c r="E23" s="24">
        <f t="shared" ref="E23" si="3">IF(B23&gt;0,D23/B23*100,)</f>
        <v>0</v>
      </c>
      <c r="F23" s="24">
        <f t="shared" ref="F23" si="4">IF(C23&gt;0,D23/C23*100,)</f>
        <v>0</v>
      </c>
    </row>
    <row r="24" ht="24.45" customHeight="1" spans="1:6">
      <c r="A24" s="54" t="s">
        <v>1614</v>
      </c>
      <c r="B24" s="54"/>
      <c r="C24" s="54"/>
      <c r="D24" s="54"/>
      <c r="E24" s="54"/>
      <c r="F24" s="54"/>
    </row>
    <row r="25" ht="20.1" customHeight="1"/>
    <row r="26" ht="20.1" customHeight="1"/>
    <row r="27" ht="20.1" customHeight="1" spans="1:1">
      <c r="A27" s="59" t="s">
        <v>1620</v>
      </c>
    </row>
  </sheetData>
  <mergeCells count="6">
    <mergeCell ref="A2:F2"/>
    <mergeCell ref="D4:F4"/>
    <mergeCell ref="A24:F24"/>
    <mergeCell ref="A4:A5"/>
    <mergeCell ref="B4:B5"/>
    <mergeCell ref="C4:C5"/>
  </mergeCells>
  <printOptions horizontalCentered="1" verticalCentered="1"/>
  <pageMargins left="0.393700787401575" right="0.393700787401575" top="0.590551181102362" bottom="0.590551181102362" header="0.393700787401575" footer="0.393700787401575"/>
  <pageSetup paperSize="9" scale="95" firstPageNumber="75" orientation="landscape" useFirstPageNumber="1"/>
  <headerFooter differentOddEven="1">
    <oddFooter>&amp;L&amp;16—&amp;P—</oddFooter>
    <evenFooter>&amp;R&amp;16—&amp;P—</even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topLeftCell="A38" workbookViewId="0">
      <selection activeCell="E59" sqref="E59"/>
    </sheetView>
  </sheetViews>
  <sheetFormatPr defaultColWidth="9" defaultRowHeight="13.5"/>
  <cols>
    <col min="1" max="1" width="63.3" style="34" customWidth="1"/>
    <col min="2" max="8" width="13.6" style="35" customWidth="1"/>
    <col min="9" max="16384" width="9" style="34"/>
  </cols>
  <sheetData>
    <row r="1" ht="14.25" spans="1:1">
      <c r="A1" s="36" t="s">
        <v>1621</v>
      </c>
    </row>
    <row r="2" s="32" customFormat="1" ht="22.5" spans="1:8">
      <c r="A2" s="26" t="s">
        <v>1622</v>
      </c>
      <c r="B2" s="37"/>
      <c r="C2" s="37"/>
      <c r="D2" s="37"/>
      <c r="E2" s="37"/>
      <c r="F2" s="37"/>
      <c r="G2" s="37"/>
      <c r="H2" s="37"/>
    </row>
    <row r="3" ht="18" customHeight="1" spans="8:8">
      <c r="H3" s="38" t="s">
        <v>26</v>
      </c>
    </row>
    <row r="4" s="33" customFormat="1" ht="31.5" customHeight="1" spans="1:8">
      <c r="A4" s="39" t="s">
        <v>27</v>
      </c>
      <c r="B4" s="40" t="s">
        <v>1132</v>
      </c>
      <c r="C4" s="40" t="s">
        <v>1623</v>
      </c>
      <c r="D4" s="40" t="s">
        <v>1624</v>
      </c>
      <c r="E4" s="40" t="s">
        <v>1625</v>
      </c>
      <c r="F4" s="41" t="s">
        <v>1136</v>
      </c>
      <c r="G4" s="40" t="s">
        <v>1137</v>
      </c>
      <c r="H4" s="40" t="s">
        <v>1138</v>
      </c>
    </row>
    <row r="5" s="33" customFormat="1" ht="27.75" customHeight="1" spans="1:10">
      <c r="A5" s="42"/>
      <c r="B5" s="43"/>
      <c r="C5" s="43"/>
      <c r="D5" s="44"/>
      <c r="E5" s="45"/>
      <c r="F5" s="46"/>
      <c r="G5" s="43"/>
      <c r="H5" s="43"/>
      <c r="I5" s="55" t="s">
        <v>31</v>
      </c>
      <c r="J5" s="55" t="s">
        <v>1139</v>
      </c>
    </row>
    <row r="6" ht="18.45" customHeight="1" spans="1:10">
      <c r="A6" s="47" t="s">
        <v>1373</v>
      </c>
      <c r="B6" s="24">
        <f>SUM(C6:H6)</f>
        <v>3</v>
      </c>
      <c r="C6" s="24">
        <f>SUM(C7:C9)</f>
        <v>0</v>
      </c>
      <c r="D6" s="24">
        <f t="shared" ref="D6:I6" si="0">SUM(D7:D9)</f>
        <v>0</v>
      </c>
      <c r="E6" s="24">
        <f t="shared" si="0"/>
        <v>3</v>
      </c>
      <c r="F6" s="24">
        <f t="shared" si="0"/>
        <v>0</v>
      </c>
      <c r="G6" s="24">
        <f t="shared" si="0"/>
        <v>0</v>
      </c>
      <c r="H6" s="24">
        <f t="shared" si="0"/>
        <v>0</v>
      </c>
      <c r="I6" s="24">
        <f t="shared" si="0"/>
        <v>0</v>
      </c>
      <c r="J6" s="56" t="str">
        <f>IF(B6-表八!J7=0,"正确","错误，请检查")</f>
        <v>正确</v>
      </c>
    </row>
    <row r="7" ht="18.45" customHeight="1" spans="1:10">
      <c r="A7" s="48" t="s">
        <v>1375</v>
      </c>
      <c r="B7" s="24">
        <f t="shared" ref="B7:B51" si="1">SUM(C7:H7)</f>
        <v>3</v>
      </c>
      <c r="C7" s="49"/>
      <c r="D7" s="49"/>
      <c r="E7" s="49">
        <v>3</v>
      </c>
      <c r="F7" s="49"/>
      <c r="G7" s="49"/>
      <c r="H7" s="49"/>
      <c r="I7" s="49"/>
      <c r="J7" s="56" t="str">
        <f>IF(B7-表八!J8=0,"正确","错误，请检查")</f>
        <v>正确</v>
      </c>
    </row>
    <row r="8" ht="18.45" customHeight="1" spans="1:10">
      <c r="A8" s="48" t="s">
        <v>1387</v>
      </c>
      <c r="B8" s="24">
        <f t="shared" si="1"/>
        <v>0</v>
      </c>
      <c r="C8" s="49"/>
      <c r="D8" s="49"/>
      <c r="E8" s="49"/>
      <c r="F8" s="49"/>
      <c r="G8" s="49"/>
      <c r="H8" s="49"/>
      <c r="I8" s="49"/>
      <c r="J8" s="56" t="str">
        <f>IF(B8-表八!J14=0,"正确","错误，请检查")</f>
        <v>正确</v>
      </c>
    </row>
    <row r="9" ht="18.45" customHeight="1" spans="1:10">
      <c r="A9" s="48" t="s">
        <v>1399</v>
      </c>
      <c r="B9" s="24">
        <f t="shared" si="1"/>
        <v>0</v>
      </c>
      <c r="C9" s="49"/>
      <c r="D9" s="49"/>
      <c r="E9" s="49"/>
      <c r="F9" s="49"/>
      <c r="G9" s="49"/>
      <c r="H9" s="49"/>
      <c r="I9" s="49"/>
      <c r="J9" s="56" t="str">
        <f>IF(B9-表八!J20=0,"正确","错误，请检查")</f>
        <v>正确</v>
      </c>
    </row>
    <row r="10" ht="18.45" customHeight="1" spans="1:10">
      <c r="A10" s="47" t="s">
        <v>1405</v>
      </c>
      <c r="B10" s="24">
        <f t="shared" si="1"/>
        <v>656</v>
      </c>
      <c r="C10" s="24">
        <f>SUM(C11:C13)</f>
        <v>0</v>
      </c>
      <c r="D10" s="24">
        <f t="shared" ref="D10:I10" si="2">SUM(D11:D13)</f>
        <v>43</v>
      </c>
      <c r="E10" s="24">
        <f t="shared" si="2"/>
        <v>613</v>
      </c>
      <c r="F10" s="24">
        <f t="shared" si="2"/>
        <v>0</v>
      </c>
      <c r="G10" s="24">
        <f t="shared" si="2"/>
        <v>0</v>
      </c>
      <c r="H10" s="24">
        <f t="shared" si="2"/>
        <v>0</v>
      </c>
      <c r="I10" s="24">
        <f t="shared" si="2"/>
        <v>0</v>
      </c>
      <c r="J10" s="56" t="str">
        <f>IF(B10-表八!J23=0,"正确","错误，请检查")</f>
        <v>正确</v>
      </c>
    </row>
    <row r="11" ht="18.45" customHeight="1" spans="1:10">
      <c r="A11" s="48" t="s">
        <v>1407</v>
      </c>
      <c r="B11" s="24">
        <f t="shared" si="1"/>
        <v>656</v>
      </c>
      <c r="C11" s="49"/>
      <c r="D11" s="49">
        <v>43</v>
      </c>
      <c r="E11" s="49">
        <v>613</v>
      </c>
      <c r="F11" s="49"/>
      <c r="G11" s="49"/>
      <c r="H11" s="49"/>
      <c r="I11" s="49"/>
      <c r="J11" s="56" t="str">
        <f>IF(B11-表八!J24=0,"正确","错误，请检查")</f>
        <v>正确</v>
      </c>
    </row>
    <row r="12" ht="18.45" customHeight="1" spans="1:10">
      <c r="A12" s="48" t="s">
        <v>1415</v>
      </c>
      <c r="B12" s="24">
        <f t="shared" si="1"/>
        <v>0</v>
      </c>
      <c r="C12" s="49"/>
      <c r="D12" s="49"/>
      <c r="E12" s="49"/>
      <c r="F12" s="49"/>
      <c r="G12" s="49"/>
      <c r="H12" s="49"/>
      <c r="I12" s="49"/>
      <c r="J12" s="56" t="str">
        <f>IF(B12-表八!J28=0,"正确","错误，请检查")</f>
        <v>正确</v>
      </c>
    </row>
    <row r="13" ht="18.45" customHeight="1" spans="1:10">
      <c r="A13" s="48" t="s">
        <v>1421</v>
      </c>
      <c r="B13" s="24">
        <f t="shared" si="1"/>
        <v>0</v>
      </c>
      <c r="C13" s="49"/>
      <c r="D13" s="49"/>
      <c r="E13" s="49"/>
      <c r="F13" s="49"/>
      <c r="G13" s="49"/>
      <c r="H13" s="49"/>
      <c r="I13" s="49"/>
      <c r="J13" s="56" t="str">
        <f>IF(B13-表八!J32=0,"正确","错误，请检查")</f>
        <v>正确</v>
      </c>
    </row>
    <row r="14" ht="18.45" customHeight="1" spans="1:10">
      <c r="A14" s="47" t="s">
        <v>1425</v>
      </c>
      <c r="B14" s="24">
        <f t="shared" si="1"/>
        <v>0</v>
      </c>
      <c r="C14" s="24">
        <f>SUM(C15:C16)</f>
        <v>0</v>
      </c>
      <c r="D14" s="24">
        <f t="shared" ref="D14:I14" si="3">SUM(D15:D16)</f>
        <v>0</v>
      </c>
      <c r="E14" s="24">
        <f t="shared" si="3"/>
        <v>0</v>
      </c>
      <c r="F14" s="24">
        <f t="shared" si="3"/>
        <v>0</v>
      </c>
      <c r="G14" s="24">
        <f t="shared" si="3"/>
        <v>0</v>
      </c>
      <c r="H14" s="24">
        <f t="shared" si="3"/>
        <v>0</v>
      </c>
      <c r="I14" s="24">
        <f t="shared" si="3"/>
        <v>0</v>
      </c>
      <c r="J14" s="56" t="str">
        <f>IF(B14-表八!J35=0,"正确","错误，请检查")</f>
        <v>正确</v>
      </c>
    </row>
    <row r="15" ht="18.45" customHeight="1" spans="1:10">
      <c r="A15" s="47" t="s">
        <v>1426</v>
      </c>
      <c r="B15" s="24">
        <f t="shared" si="1"/>
        <v>0</v>
      </c>
      <c r="C15" s="49"/>
      <c r="D15" s="49"/>
      <c r="E15" s="49"/>
      <c r="F15" s="49"/>
      <c r="G15" s="49"/>
      <c r="H15" s="49"/>
      <c r="I15" s="49"/>
      <c r="J15" s="56" t="str">
        <f>IF(B15-表八!J36=0,"正确","错误，请检查")</f>
        <v>正确</v>
      </c>
    </row>
    <row r="16" ht="18.45" customHeight="1" spans="1:10">
      <c r="A16" s="47" t="s">
        <v>1431</v>
      </c>
      <c r="B16" s="24">
        <f t="shared" si="1"/>
        <v>0</v>
      </c>
      <c r="C16" s="49"/>
      <c r="D16" s="49"/>
      <c r="E16" s="49"/>
      <c r="F16" s="49"/>
      <c r="G16" s="49"/>
      <c r="H16" s="49"/>
      <c r="I16" s="49"/>
      <c r="J16" s="56" t="str">
        <f>IF(B16-表八!J41=0,"正确","错误，请检查")</f>
        <v>正确</v>
      </c>
    </row>
    <row r="17" ht="18.45" customHeight="1" spans="1:10">
      <c r="A17" s="47" t="s">
        <v>1436</v>
      </c>
      <c r="B17" s="24">
        <f t="shared" si="1"/>
        <v>25331</v>
      </c>
      <c r="C17" s="24">
        <f>SUM(C18:C27)</f>
        <v>24658</v>
      </c>
      <c r="D17" s="24">
        <f t="shared" ref="D17:I17" si="4">SUM(D18:D27)</f>
        <v>0</v>
      </c>
      <c r="E17" s="24">
        <f t="shared" si="4"/>
        <v>673</v>
      </c>
      <c r="F17" s="24">
        <f t="shared" si="4"/>
        <v>0</v>
      </c>
      <c r="G17" s="24">
        <f t="shared" si="4"/>
        <v>0</v>
      </c>
      <c r="H17" s="24">
        <f t="shared" si="4"/>
        <v>0</v>
      </c>
      <c r="I17" s="24">
        <f t="shared" si="4"/>
        <v>0</v>
      </c>
      <c r="J17" s="56" t="str">
        <f>IF(B17-表八!J46=0,"正确","错误，请检查")</f>
        <v>正确</v>
      </c>
    </row>
    <row r="18" ht="18.45" customHeight="1" spans="1:10">
      <c r="A18" s="47" t="s">
        <v>1437</v>
      </c>
      <c r="B18" s="24">
        <f t="shared" si="1"/>
        <v>24479</v>
      </c>
      <c r="C18" s="49">
        <f>24205+140</f>
        <v>24345</v>
      </c>
      <c r="D18" s="49"/>
      <c r="E18" s="49">
        <v>134</v>
      </c>
      <c r="F18" s="49"/>
      <c r="G18" s="49"/>
      <c r="H18" s="49"/>
      <c r="I18" s="49"/>
      <c r="J18" s="56" t="str">
        <f>IF(B18-表八!J47=0,"正确","错误，请检查")</f>
        <v>正确</v>
      </c>
    </row>
    <row r="19" ht="18.45" customHeight="1" spans="1:10">
      <c r="A19" s="47" t="s">
        <v>1452</v>
      </c>
      <c r="B19" s="24">
        <f t="shared" si="1"/>
        <v>210</v>
      </c>
      <c r="C19" s="49">
        <v>49</v>
      </c>
      <c r="D19" s="49"/>
      <c r="E19" s="49">
        <v>161</v>
      </c>
      <c r="F19" s="49"/>
      <c r="G19" s="49"/>
      <c r="H19" s="49"/>
      <c r="I19" s="49"/>
      <c r="J19" s="56" t="str">
        <f>IF(B19-表八!J63=0,"正确","错误，请检查")</f>
        <v>正确</v>
      </c>
    </row>
    <row r="20" ht="18.45" customHeight="1" spans="1:10">
      <c r="A20" s="47" t="s">
        <v>1454</v>
      </c>
      <c r="B20" s="24">
        <f t="shared" si="1"/>
        <v>122</v>
      </c>
      <c r="C20" s="49"/>
      <c r="D20" s="49"/>
      <c r="E20" s="49">
        <v>122</v>
      </c>
      <c r="F20" s="49"/>
      <c r="G20" s="49"/>
      <c r="H20" s="49"/>
      <c r="I20" s="49"/>
      <c r="J20" s="56" t="str">
        <f>IF(B20-表八!J67=0,"正确","错误，请检查")</f>
        <v>正确</v>
      </c>
    </row>
    <row r="21" ht="18.45" customHeight="1" spans="1:10">
      <c r="A21" s="47" t="s">
        <v>1455</v>
      </c>
      <c r="B21" s="24">
        <f t="shared" si="1"/>
        <v>220</v>
      </c>
      <c r="C21" s="49">
        <v>49</v>
      </c>
      <c r="D21" s="49"/>
      <c r="E21" s="49">
        <v>171</v>
      </c>
      <c r="F21" s="49"/>
      <c r="G21" s="49"/>
      <c r="H21" s="49"/>
      <c r="I21" s="49"/>
      <c r="J21" s="56" t="str">
        <f>IF(B21-表八!J68=0,"正确","错误，请检查")</f>
        <v>正确</v>
      </c>
    </row>
    <row r="22" ht="18.45" customHeight="1" spans="1:10">
      <c r="A22" s="47" t="s">
        <v>1626</v>
      </c>
      <c r="B22" s="24">
        <f t="shared" si="1"/>
        <v>300</v>
      </c>
      <c r="C22" s="49">
        <v>215</v>
      </c>
      <c r="D22" s="49"/>
      <c r="E22" s="49">
        <v>85</v>
      </c>
      <c r="F22" s="49"/>
      <c r="G22" s="49"/>
      <c r="H22" s="49"/>
      <c r="I22" s="49"/>
      <c r="J22" s="56" t="str">
        <f>IF(B22-表八!J74=0,"正确","错误，请检查")</f>
        <v>正确</v>
      </c>
    </row>
    <row r="23" ht="18.45" customHeight="1" spans="1:10">
      <c r="A23" s="47" t="s">
        <v>1465</v>
      </c>
      <c r="B23" s="24">
        <f t="shared" si="1"/>
        <v>0</v>
      </c>
      <c r="C23" s="49"/>
      <c r="D23" s="49"/>
      <c r="E23" s="49"/>
      <c r="F23" s="49"/>
      <c r="G23" s="49"/>
      <c r="H23" s="49"/>
      <c r="I23" s="49"/>
      <c r="J23" s="56" t="str">
        <f>IF(B23-表八!J78=0,"正确","错误，请检查")</f>
        <v>正确</v>
      </c>
    </row>
    <row r="24" ht="18.45" customHeight="1" spans="1:10">
      <c r="A24" s="47" t="s">
        <v>1467</v>
      </c>
      <c r="B24" s="24">
        <f t="shared" si="1"/>
        <v>0</v>
      </c>
      <c r="C24" s="49"/>
      <c r="D24" s="49"/>
      <c r="E24" s="49"/>
      <c r="F24" s="49"/>
      <c r="G24" s="49"/>
      <c r="H24" s="49"/>
      <c r="I24" s="49"/>
      <c r="J24" s="56" t="str">
        <f>IF(B24-表八!J82=0,"正确","错误，请检查")</f>
        <v>正确</v>
      </c>
    </row>
    <row r="25" ht="18.45" customHeight="1" spans="1:10">
      <c r="A25" s="47" t="s">
        <v>1469</v>
      </c>
      <c r="B25" s="24">
        <f t="shared" si="1"/>
        <v>0</v>
      </c>
      <c r="C25" s="49"/>
      <c r="D25" s="49"/>
      <c r="E25" s="49"/>
      <c r="F25" s="49"/>
      <c r="G25" s="49"/>
      <c r="H25" s="49"/>
      <c r="I25" s="49"/>
      <c r="J25" s="56" t="str">
        <f>IF(B25-表八!J86=0,"正确","错误，请检查")</f>
        <v>正确</v>
      </c>
    </row>
    <row r="26" ht="18.45" customHeight="1" spans="1:10">
      <c r="A26" s="47" t="s">
        <v>1471</v>
      </c>
      <c r="B26" s="24">
        <f t="shared" si="1"/>
        <v>0</v>
      </c>
      <c r="C26" s="49"/>
      <c r="D26" s="49"/>
      <c r="E26" s="49"/>
      <c r="F26" s="49"/>
      <c r="G26" s="49"/>
      <c r="H26" s="49"/>
      <c r="I26" s="49"/>
      <c r="J26" s="56" t="str">
        <f>IF(B26-表八!J92=0,"正确","错误，请检查")</f>
        <v>正确</v>
      </c>
    </row>
    <row r="27" ht="18.45" customHeight="1" spans="1:10">
      <c r="A27" s="47" t="s">
        <v>1473</v>
      </c>
      <c r="B27" s="24">
        <f t="shared" si="1"/>
        <v>0</v>
      </c>
      <c r="C27" s="49"/>
      <c r="D27" s="49"/>
      <c r="E27" s="49"/>
      <c r="F27" s="49"/>
      <c r="G27" s="49"/>
      <c r="H27" s="49"/>
      <c r="I27" s="49"/>
      <c r="J27" s="56" t="str">
        <f>IF(B27-表八!J95=0,"正确","错误，请检查")</f>
        <v>正确</v>
      </c>
    </row>
    <row r="28" ht="18.45" customHeight="1" spans="1:10">
      <c r="A28" s="47" t="s">
        <v>1475</v>
      </c>
      <c r="B28" s="24">
        <f t="shared" si="1"/>
        <v>143</v>
      </c>
      <c r="C28" s="24">
        <f>SUM(C29:C33)</f>
        <v>0</v>
      </c>
      <c r="D28" s="24">
        <f t="shared" ref="D28:I28" si="5">SUM(D29:D33)</f>
        <v>0</v>
      </c>
      <c r="E28" s="24">
        <f t="shared" si="5"/>
        <v>143</v>
      </c>
      <c r="F28" s="24">
        <f t="shared" si="5"/>
        <v>0</v>
      </c>
      <c r="G28" s="24">
        <f t="shared" si="5"/>
        <v>0</v>
      </c>
      <c r="H28" s="24">
        <f t="shared" si="5"/>
        <v>0</v>
      </c>
      <c r="I28" s="24">
        <f t="shared" si="5"/>
        <v>0</v>
      </c>
      <c r="J28" s="56" t="str">
        <f>IF(B28-表八!J104=0,"正确","错误，请检查")</f>
        <v>正确</v>
      </c>
    </row>
    <row r="29" ht="18.45" customHeight="1" spans="1:10">
      <c r="A29" s="47" t="s">
        <v>1476</v>
      </c>
      <c r="B29" s="24">
        <f t="shared" si="1"/>
        <v>143</v>
      </c>
      <c r="C29" s="49"/>
      <c r="D29" s="49"/>
      <c r="E29" s="49">
        <v>143</v>
      </c>
      <c r="F29" s="49"/>
      <c r="G29" s="49"/>
      <c r="H29" s="49"/>
      <c r="I29" s="49"/>
      <c r="J29" s="56" t="str">
        <f>IF(B29-表八!J105=0,"正确","错误，请检查")</f>
        <v>正确</v>
      </c>
    </row>
    <row r="30" ht="18.45" customHeight="1" spans="1:10">
      <c r="A30" s="50" t="s">
        <v>1480</v>
      </c>
      <c r="B30" s="24">
        <f t="shared" si="1"/>
        <v>0</v>
      </c>
      <c r="C30" s="49"/>
      <c r="D30" s="49"/>
      <c r="E30" s="49"/>
      <c r="F30" s="49"/>
      <c r="G30" s="49"/>
      <c r="H30" s="49"/>
      <c r="I30" s="49"/>
      <c r="J30" s="56" t="str">
        <f>IF(B30-表八!J110=0,"正确","错误，请检查")</f>
        <v>正确</v>
      </c>
    </row>
    <row r="31" ht="18.45" customHeight="1" spans="1:10">
      <c r="A31" s="50" t="s">
        <v>1483</v>
      </c>
      <c r="B31" s="24">
        <f t="shared" si="1"/>
        <v>0</v>
      </c>
      <c r="C31" s="49"/>
      <c r="D31" s="49"/>
      <c r="E31" s="49"/>
      <c r="F31" s="49"/>
      <c r="G31" s="49"/>
      <c r="H31" s="49"/>
      <c r="I31" s="49"/>
      <c r="J31" s="56" t="str">
        <f>IF(B31-表八!J115=0,"正确","错误，请检查")</f>
        <v>正确</v>
      </c>
    </row>
    <row r="32" ht="18.45" customHeight="1" spans="1:10">
      <c r="A32" s="51" t="s">
        <v>1627</v>
      </c>
      <c r="B32" s="24">
        <f t="shared" si="1"/>
        <v>0</v>
      </c>
      <c r="C32" s="49"/>
      <c r="D32" s="49"/>
      <c r="E32" s="49"/>
      <c r="F32" s="49"/>
      <c r="G32" s="49"/>
      <c r="H32" s="49"/>
      <c r="I32" s="49"/>
      <c r="J32" s="57"/>
    </row>
    <row r="33" ht="18.45" customHeight="1" spans="1:10">
      <c r="A33" s="51" t="s">
        <v>1628</v>
      </c>
      <c r="B33" s="24">
        <f t="shared" si="1"/>
        <v>0</v>
      </c>
      <c r="C33" s="49"/>
      <c r="D33" s="49"/>
      <c r="E33" s="49"/>
      <c r="F33" s="49"/>
      <c r="G33" s="49"/>
      <c r="H33" s="49"/>
      <c r="I33" s="49"/>
      <c r="J33" s="57"/>
    </row>
    <row r="34" ht="18.45" customHeight="1" spans="1:10">
      <c r="A34" s="48" t="s">
        <v>1487</v>
      </c>
      <c r="B34" s="24">
        <f t="shared" si="1"/>
        <v>0</v>
      </c>
      <c r="C34" s="24">
        <f>SUM(C35:C42)</f>
        <v>0</v>
      </c>
      <c r="D34" s="24">
        <f t="shared" ref="D34:I34" si="6">SUM(D35:D42)</f>
        <v>0</v>
      </c>
      <c r="E34" s="24">
        <f t="shared" si="6"/>
        <v>0</v>
      </c>
      <c r="F34" s="24">
        <f t="shared" si="6"/>
        <v>0</v>
      </c>
      <c r="G34" s="24">
        <f t="shared" si="6"/>
        <v>0</v>
      </c>
      <c r="H34" s="24">
        <f t="shared" si="6"/>
        <v>0</v>
      </c>
      <c r="I34" s="24">
        <f t="shared" si="6"/>
        <v>0</v>
      </c>
      <c r="J34" s="56" t="str">
        <f>IF(B34-表八!J120=0,"正确","错误，请检查")</f>
        <v>正确</v>
      </c>
    </row>
    <row r="35" ht="18.45" customHeight="1" spans="1:10">
      <c r="A35" s="50" t="s">
        <v>1488</v>
      </c>
      <c r="B35" s="24">
        <f t="shared" si="1"/>
        <v>0</v>
      </c>
      <c r="C35" s="49"/>
      <c r="D35" s="49"/>
      <c r="E35" s="49"/>
      <c r="F35" s="49"/>
      <c r="G35" s="49"/>
      <c r="H35" s="49"/>
      <c r="I35" s="49"/>
      <c r="J35" s="56" t="str">
        <f>IF(B35-表八!J121=0,"正确","错误，请检查")</f>
        <v>正确</v>
      </c>
    </row>
    <row r="36" ht="18.45" customHeight="1" spans="1:10">
      <c r="A36" s="50" t="s">
        <v>1491</v>
      </c>
      <c r="B36" s="24">
        <f t="shared" si="1"/>
        <v>0</v>
      </c>
      <c r="C36" s="49"/>
      <c r="D36" s="49"/>
      <c r="E36" s="49"/>
      <c r="F36" s="49"/>
      <c r="G36" s="49"/>
      <c r="H36" s="49"/>
      <c r="I36" s="49"/>
      <c r="J36" s="56" t="str">
        <f>IF(B36-表八!J126=0,"正确","错误，请检查")</f>
        <v>正确</v>
      </c>
    </row>
    <row r="37" ht="18.45" customHeight="1" spans="1:10">
      <c r="A37" s="50" t="s">
        <v>1495</v>
      </c>
      <c r="B37" s="24">
        <f t="shared" si="1"/>
        <v>0</v>
      </c>
      <c r="C37" s="49"/>
      <c r="D37" s="49"/>
      <c r="E37" s="49"/>
      <c r="F37" s="49"/>
      <c r="G37" s="49"/>
      <c r="H37" s="49"/>
      <c r="I37" s="49"/>
      <c r="J37" s="56" t="str">
        <f>IF(B37-表八!J131=0,"正确","错误，请检查")</f>
        <v>正确</v>
      </c>
    </row>
    <row r="38" ht="18.45" customHeight="1" spans="1:10">
      <c r="A38" s="50" t="s">
        <v>1504</v>
      </c>
      <c r="B38" s="24">
        <f t="shared" si="1"/>
        <v>0</v>
      </c>
      <c r="C38" s="49"/>
      <c r="D38" s="49"/>
      <c r="E38" s="49"/>
      <c r="F38" s="49"/>
      <c r="G38" s="49"/>
      <c r="H38" s="49"/>
      <c r="I38" s="49"/>
      <c r="J38" s="56" t="str">
        <f>IF(B38-表八!J140=0,"正确","错误，请检查")</f>
        <v>正确</v>
      </c>
    </row>
    <row r="39" ht="18.45" customHeight="1" spans="1:10">
      <c r="A39" s="50" t="s">
        <v>1511</v>
      </c>
      <c r="B39" s="24">
        <f t="shared" si="1"/>
        <v>0</v>
      </c>
      <c r="C39" s="49"/>
      <c r="D39" s="49"/>
      <c r="E39" s="49"/>
      <c r="F39" s="49"/>
      <c r="G39" s="49"/>
      <c r="H39" s="49"/>
      <c r="I39" s="49"/>
      <c r="J39" s="56" t="str">
        <f>IF(B39-表八!J147=0,"正确","错误，请检查")</f>
        <v>正确</v>
      </c>
    </row>
    <row r="40" ht="18.45" customHeight="1" spans="1:10">
      <c r="A40" s="50" t="s">
        <v>1519</v>
      </c>
      <c r="B40" s="24">
        <f t="shared" si="1"/>
        <v>0</v>
      </c>
      <c r="C40" s="49"/>
      <c r="D40" s="49"/>
      <c r="E40" s="49"/>
      <c r="F40" s="49"/>
      <c r="G40" s="49"/>
      <c r="H40" s="49"/>
      <c r="I40" s="49"/>
      <c r="J40" s="56" t="str">
        <f>IF(B40-表八!J156=0,"正确","错误，请检查")</f>
        <v>正确</v>
      </c>
    </row>
    <row r="41" ht="18.45" customHeight="1" spans="1:10">
      <c r="A41" s="50" t="s">
        <v>1521</v>
      </c>
      <c r="B41" s="24">
        <f t="shared" si="1"/>
        <v>0</v>
      </c>
      <c r="C41" s="49"/>
      <c r="D41" s="49"/>
      <c r="E41" s="49"/>
      <c r="F41" s="49"/>
      <c r="G41" s="49"/>
      <c r="H41" s="49"/>
      <c r="I41" s="49"/>
      <c r="J41" s="56" t="str">
        <f>IF(B41-表八!J159=0,"正确","错误，请检查")</f>
        <v>正确</v>
      </c>
    </row>
    <row r="42" ht="18.45" customHeight="1" spans="1:10">
      <c r="A42" s="50" t="s">
        <v>1523</v>
      </c>
      <c r="B42" s="24">
        <f t="shared" si="1"/>
        <v>0</v>
      </c>
      <c r="C42" s="49"/>
      <c r="D42" s="49"/>
      <c r="E42" s="49"/>
      <c r="F42" s="49"/>
      <c r="G42" s="49"/>
      <c r="H42" s="49"/>
      <c r="I42" s="49"/>
      <c r="J42" s="56" t="str">
        <f>IF(B42-表八!J162=0,"正确","错误，请检查")</f>
        <v>正确</v>
      </c>
    </row>
    <row r="43" ht="18.45" customHeight="1" spans="1:10">
      <c r="A43" s="48" t="s">
        <v>1524</v>
      </c>
      <c r="B43" s="24">
        <f t="shared" si="1"/>
        <v>0</v>
      </c>
      <c r="C43" s="24">
        <f>SUM(C44)</f>
        <v>0</v>
      </c>
      <c r="D43" s="24">
        <f t="shared" ref="D43:I43" si="7">SUM(D44)</f>
        <v>0</v>
      </c>
      <c r="E43" s="24">
        <f t="shared" si="7"/>
        <v>0</v>
      </c>
      <c r="F43" s="24">
        <f t="shared" si="7"/>
        <v>0</v>
      </c>
      <c r="G43" s="24">
        <f t="shared" si="7"/>
        <v>0</v>
      </c>
      <c r="H43" s="24">
        <f t="shared" si="7"/>
        <v>0</v>
      </c>
      <c r="I43" s="24">
        <f t="shared" si="7"/>
        <v>0</v>
      </c>
      <c r="J43" s="56" t="str">
        <f>IF(B43-表八!J163=0,"正确","错误，请检查")</f>
        <v>正确</v>
      </c>
    </row>
    <row r="44" ht="18.45" customHeight="1" spans="1:10">
      <c r="A44" s="50" t="s">
        <v>1525</v>
      </c>
      <c r="B44" s="24">
        <f t="shared" si="1"/>
        <v>0</v>
      </c>
      <c r="C44" s="49"/>
      <c r="D44" s="49"/>
      <c r="E44" s="49"/>
      <c r="F44" s="49"/>
      <c r="G44" s="49"/>
      <c r="H44" s="49"/>
      <c r="I44" s="49"/>
      <c r="J44" s="56" t="str">
        <f>IF(B44-表八!J164=0,"正确","错误，请检查")</f>
        <v>正确</v>
      </c>
    </row>
    <row r="45" ht="18.45" customHeight="1" spans="1:10">
      <c r="A45" s="48" t="s">
        <v>1528</v>
      </c>
      <c r="B45" s="24">
        <f t="shared" si="1"/>
        <v>293</v>
      </c>
      <c r="C45" s="24">
        <f>SUM(C46:C48)</f>
        <v>0</v>
      </c>
      <c r="D45" s="24">
        <f t="shared" ref="D45:I45" si="8">SUM(D46:D48)</f>
        <v>72</v>
      </c>
      <c r="E45" s="24">
        <f t="shared" si="8"/>
        <v>221</v>
      </c>
      <c r="F45" s="24">
        <f t="shared" si="8"/>
        <v>0</v>
      </c>
      <c r="G45" s="24">
        <f t="shared" si="8"/>
        <v>0</v>
      </c>
      <c r="H45" s="24">
        <f t="shared" si="8"/>
        <v>0</v>
      </c>
      <c r="I45" s="24">
        <f t="shared" si="8"/>
        <v>0</v>
      </c>
      <c r="J45" s="56" t="str">
        <f>IF(B45-表八!J167=0,"正确","错误，请检查")</f>
        <v>正确</v>
      </c>
    </row>
    <row r="46" ht="18.45" customHeight="1" spans="1:10">
      <c r="A46" s="50" t="s">
        <v>1529</v>
      </c>
      <c r="B46" s="24">
        <f t="shared" si="1"/>
        <v>42</v>
      </c>
      <c r="C46" s="49"/>
      <c r="D46" s="49"/>
      <c r="E46" s="49">
        <v>42</v>
      </c>
      <c r="F46" s="49"/>
      <c r="G46" s="49"/>
      <c r="H46" s="49"/>
      <c r="I46" s="49"/>
      <c r="J46" s="56" t="str">
        <f>IF(B46-表八!J168=0,"正确","错误，请检查")</f>
        <v>正确</v>
      </c>
    </row>
    <row r="47" ht="18.45" customHeight="1" spans="1:10">
      <c r="A47" s="50" t="s">
        <v>1533</v>
      </c>
      <c r="B47" s="24">
        <f t="shared" si="1"/>
        <v>0</v>
      </c>
      <c r="C47" s="49"/>
      <c r="D47" s="49"/>
      <c r="E47" s="49"/>
      <c r="F47" s="49"/>
      <c r="G47" s="49"/>
      <c r="H47" s="49"/>
      <c r="I47" s="49"/>
      <c r="J47" s="56" t="str">
        <f>IF(B47-表八!J172=0,"正确","错误，请检查")</f>
        <v>正确</v>
      </c>
    </row>
    <row r="48" ht="18.45" customHeight="1" spans="1:10">
      <c r="A48" s="50" t="s">
        <v>1542</v>
      </c>
      <c r="B48" s="24">
        <f t="shared" si="1"/>
        <v>251</v>
      </c>
      <c r="C48" s="49"/>
      <c r="D48" s="49">
        <v>72</v>
      </c>
      <c r="E48" s="49">
        <v>179</v>
      </c>
      <c r="F48" s="49"/>
      <c r="G48" s="49"/>
      <c r="H48" s="49"/>
      <c r="I48" s="49"/>
      <c r="J48" s="56" t="str">
        <f>IF(B48-表八!J181=0,"正确","错误，请检查")</f>
        <v>正确</v>
      </c>
    </row>
    <row r="49" ht="18.45" customHeight="1" spans="1:10">
      <c r="A49" s="48" t="s">
        <v>1553</v>
      </c>
      <c r="B49" s="24">
        <f t="shared" si="1"/>
        <v>358</v>
      </c>
      <c r="C49" s="49">
        <f>358-141</f>
        <v>217</v>
      </c>
      <c r="D49" s="49"/>
      <c r="E49" s="49">
        <v>141</v>
      </c>
      <c r="F49" s="49"/>
      <c r="G49" s="49"/>
      <c r="H49" s="49"/>
      <c r="I49" s="49"/>
      <c r="J49" s="56" t="str">
        <f>IF(B49-表八!J192=0,"正确","错误，请检查")</f>
        <v>正确</v>
      </c>
    </row>
    <row r="50" ht="18.45" customHeight="1" spans="1:10">
      <c r="A50" s="48" t="s">
        <v>1569</v>
      </c>
      <c r="B50" s="24">
        <f t="shared" si="1"/>
        <v>51</v>
      </c>
      <c r="C50" s="49">
        <v>51</v>
      </c>
      <c r="D50" s="49"/>
      <c r="E50" s="49"/>
      <c r="F50" s="49"/>
      <c r="G50" s="49"/>
      <c r="H50" s="49"/>
      <c r="I50" s="49"/>
      <c r="J50" s="56" t="str">
        <f>IF(B50-表八!J208=0,"正确","错误，请检查")</f>
        <v>正确</v>
      </c>
    </row>
    <row r="51" ht="18.45" customHeight="1" spans="1:10">
      <c r="A51" s="52" t="s">
        <v>1585</v>
      </c>
      <c r="B51" s="24">
        <f t="shared" si="1"/>
        <v>0</v>
      </c>
      <c r="C51" s="49"/>
      <c r="D51" s="49"/>
      <c r="E51" s="49"/>
      <c r="F51" s="49"/>
      <c r="G51" s="49"/>
      <c r="H51" s="49"/>
      <c r="I51" s="49"/>
      <c r="J51" s="56" t="str">
        <f>IF(B51-表八!J224=0,"正确","错误，请检查")</f>
        <v>正确</v>
      </c>
    </row>
    <row r="52" ht="20.1" customHeight="1" spans="1:10">
      <c r="A52" s="52"/>
      <c r="B52" s="49"/>
      <c r="C52" s="49"/>
      <c r="D52" s="49"/>
      <c r="E52" s="49"/>
      <c r="F52" s="49"/>
      <c r="G52" s="49"/>
      <c r="H52" s="49"/>
      <c r="I52" s="49"/>
      <c r="J52" s="57"/>
    </row>
    <row r="53" ht="20.1" customHeight="1" spans="1:10">
      <c r="A53" s="52"/>
      <c r="B53" s="49"/>
      <c r="C53" s="49"/>
      <c r="D53" s="49"/>
      <c r="E53" s="49"/>
      <c r="F53" s="49"/>
      <c r="G53" s="49"/>
      <c r="H53" s="49"/>
      <c r="I53" s="49"/>
      <c r="J53" s="57"/>
    </row>
    <row r="54" ht="20.1" customHeight="1" spans="1:10">
      <c r="A54" s="53" t="s">
        <v>1126</v>
      </c>
      <c r="B54" s="24">
        <f t="shared" ref="B54" si="9">SUM(C54:H54)</f>
        <v>26835</v>
      </c>
      <c r="C54" s="24">
        <f>C6+C10+C14+C17+C28+C34+C43+C45+C49+C50+C51</f>
        <v>24926</v>
      </c>
      <c r="D54" s="24">
        <f t="shared" ref="D54:H54" si="10">D6+D10+D14+D17+D28+D34+D43+D45+D49+D50+D51</f>
        <v>115</v>
      </c>
      <c r="E54" s="24">
        <f t="shared" si="10"/>
        <v>1794</v>
      </c>
      <c r="F54" s="24">
        <f t="shared" si="10"/>
        <v>0</v>
      </c>
      <c r="G54" s="24">
        <f t="shared" si="10"/>
        <v>0</v>
      </c>
      <c r="H54" s="24">
        <f t="shared" si="10"/>
        <v>0</v>
      </c>
      <c r="I54" s="24">
        <f t="shared" ref="I54" si="11">I6+I10+I14+I17+I28+I34+I43+I45+I49+I50+I51</f>
        <v>0</v>
      </c>
      <c r="J54" s="56" t="str">
        <f>IF(B54-表八!J251=0,"正确","错误，请检查")</f>
        <v>正确</v>
      </c>
    </row>
    <row r="55" ht="24.45" customHeight="1" spans="1:8">
      <c r="A55" s="54" t="s">
        <v>1614</v>
      </c>
      <c r="B55" s="54"/>
      <c r="C55" s="54"/>
      <c r="D55" s="54"/>
      <c r="E55" s="54"/>
      <c r="F55" s="54"/>
      <c r="G55" s="54"/>
      <c r="H55" s="54"/>
    </row>
  </sheetData>
  <mergeCells count="10">
    <mergeCell ref="A2:H2"/>
    <mergeCell ref="A55:H55"/>
    <mergeCell ref="A4:A5"/>
    <mergeCell ref="B4:B5"/>
    <mergeCell ref="C4:C5"/>
    <mergeCell ref="D4:D5"/>
    <mergeCell ref="E4:E5"/>
    <mergeCell ref="F4:F5"/>
    <mergeCell ref="G4:G5"/>
    <mergeCell ref="H4:H5"/>
  </mergeCells>
  <conditionalFormatting sqref="J6:J54">
    <cfRule type="containsText" dxfId="1" priority="2" operator="between" text="错误">
      <formula>NOT(ISERROR(SEARCH("错误",J6)))</formula>
    </cfRule>
    <cfRule type="containsText" dxfId="0" priority="1" operator="between" text="错误">
      <formula>NOT(ISERROR(SEARCH("错误",J6)))</formula>
    </cfRule>
  </conditionalFormatting>
  <printOptions horizontalCentered="1"/>
  <pageMargins left="0.393700787401575" right="0.393700787401575" top="0.590551181102362" bottom="0.62992125984252" header="0.393700787401575" footer="0.393700787401575"/>
  <pageSetup paperSize="9" scale="80" firstPageNumber="76" orientation="landscape" useFirstPageNumber="1"/>
  <headerFooter differentOddEven="1">
    <oddFooter>&amp;L&amp;16—&amp;P—</oddFooter>
    <evenFooter>&amp;R&amp;16—&amp;P—</even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opLeftCell="A4" workbookViewId="0">
      <selection activeCell="G24" sqref="G24"/>
    </sheetView>
  </sheetViews>
  <sheetFormatPr defaultColWidth="7.7" defaultRowHeight="13.5"/>
  <cols>
    <col min="1" max="1" width="26.5" style="2" customWidth="1"/>
    <col min="2" max="2" width="3.2" style="2" customWidth="1"/>
    <col min="3" max="8" width="10.1" style="2" customWidth="1"/>
    <col min="9" max="9" width="31.4" style="2" customWidth="1"/>
    <col min="10" max="10" width="3.8" style="2" customWidth="1"/>
    <col min="11" max="16" width="10.1" style="2" customWidth="1"/>
    <col min="17" max="16384" width="7.7" style="2"/>
  </cols>
  <sheetData>
    <row r="1" ht="14.25" spans="1:1">
      <c r="A1" s="3" t="s">
        <v>1629</v>
      </c>
    </row>
    <row r="2" s="1" customFormat="1" ht="30" customHeight="1" spans="1:16">
      <c r="A2" s="26" t="s">
        <v>1630</v>
      </c>
      <c r="B2" s="26"/>
      <c r="C2" s="26"/>
      <c r="D2" s="26"/>
      <c r="E2" s="26"/>
      <c r="F2" s="26"/>
      <c r="G2" s="26"/>
      <c r="H2" s="26"/>
      <c r="I2" s="26"/>
      <c r="J2" s="26"/>
      <c r="K2" s="26"/>
      <c r="L2" s="26"/>
      <c r="M2" s="26"/>
      <c r="N2" s="26"/>
      <c r="O2" s="26"/>
      <c r="P2" s="26"/>
    </row>
    <row r="3" ht="21" customHeight="1" spans="1:16">
      <c r="A3" s="5" t="s">
        <v>26</v>
      </c>
      <c r="B3" s="5"/>
      <c r="C3" s="5"/>
      <c r="D3" s="5"/>
      <c r="E3" s="5"/>
      <c r="F3" s="5"/>
      <c r="G3" s="5"/>
      <c r="H3" s="5"/>
      <c r="I3" s="5"/>
      <c r="J3" s="5"/>
      <c r="K3" s="5"/>
      <c r="L3" s="5"/>
      <c r="M3" s="5"/>
      <c r="N3" s="5"/>
      <c r="O3" s="5"/>
      <c r="P3" s="5"/>
    </row>
    <row r="4" ht="20.7" customHeight="1" spans="1:16">
      <c r="A4" s="6" t="s">
        <v>1631</v>
      </c>
      <c r="B4" s="7"/>
      <c r="C4" s="7"/>
      <c r="D4" s="7"/>
      <c r="E4" s="7"/>
      <c r="F4" s="7"/>
      <c r="G4" s="7"/>
      <c r="H4" s="7"/>
      <c r="I4" s="6" t="s">
        <v>1632</v>
      </c>
      <c r="J4" s="7"/>
      <c r="K4" s="7"/>
      <c r="L4" s="7"/>
      <c r="M4" s="7"/>
      <c r="N4" s="7"/>
      <c r="O4" s="7"/>
      <c r="P4" s="7"/>
    </row>
    <row r="5" ht="20.7" customHeight="1" spans="1:16">
      <c r="A5" s="6" t="s">
        <v>1633</v>
      </c>
      <c r="B5" s="27" t="s">
        <v>1634</v>
      </c>
      <c r="C5" s="6" t="s">
        <v>1635</v>
      </c>
      <c r="D5" s="7"/>
      <c r="E5" s="7"/>
      <c r="F5" s="6" t="s">
        <v>30</v>
      </c>
      <c r="G5" s="7"/>
      <c r="H5" s="7"/>
      <c r="I5" s="6" t="s">
        <v>1633</v>
      </c>
      <c r="J5" s="27" t="s">
        <v>1634</v>
      </c>
      <c r="K5" s="6" t="s">
        <v>1635</v>
      </c>
      <c r="L5" s="7"/>
      <c r="M5" s="7"/>
      <c r="N5" s="6" t="s">
        <v>30</v>
      </c>
      <c r="O5" s="7"/>
      <c r="P5" s="7"/>
    </row>
    <row r="6" s="25" customFormat="1" ht="42.45" customHeight="1" spans="1:16">
      <c r="A6" s="28"/>
      <c r="B6" s="29"/>
      <c r="C6" s="16" t="s">
        <v>1132</v>
      </c>
      <c r="D6" s="16" t="s">
        <v>1636</v>
      </c>
      <c r="E6" s="16" t="s">
        <v>1637</v>
      </c>
      <c r="F6" s="16" t="s">
        <v>1132</v>
      </c>
      <c r="G6" s="16" t="s">
        <v>1636</v>
      </c>
      <c r="H6" s="16" t="s">
        <v>1637</v>
      </c>
      <c r="I6" s="28"/>
      <c r="J6" s="29"/>
      <c r="K6" s="16" t="s">
        <v>1132</v>
      </c>
      <c r="L6" s="16" t="s">
        <v>1636</v>
      </c>
      <c r="M6" s="16" t="s">
        <v>1637</v>
      </c>
      <c r="N6" s="16" t="s">
        <v>1132</v>
      </c>
      <c r="O6" s="16" t="s">
        <v>1636</v>
      </c>
      <c r="P6" s="16" t="s">
        <v>1637</v>
      </c>
    </row>
    <row r="7" ht="20.7" customHeight="1" spans="1:16">
      <c r="A7" s="6" t="s">
        <v>1638</v>
      </c>
      <c r="B7" s="7"/>
      <c r="C7" s="6" t="s">
        <v>1639</v>
      </c>
      <c r="D7" s="6" t="s">
        <v>1640</v>
      </c>
      <c r="E7" s="16" t="s">
        <v>1641</v>
      </c>
      <c r="F7" s="6" t="s">
        <v>1642</v>
      </c>
      <c r="G7" s="6" t="s">
        <v>1643</v>
      </c>
      <c r="H7" s="16" t="s">
        <v>1644</v>
      </c>
      <c r="I7" s="6" t="s">
        <v>1638</v>
      </c>
      <c r="J7" s="7"/>
      <c r="K7" s="6" t="s">
        <v>1639</v>
      </c>
      <c r="L7" s="6" t="s">
        <v>1640</v>
      </c>
      <c r="M7" s="16" t="s">
        <v>1641</v>
      </c>
      <c r="N7" s="6" t="s">
        <v>1642</v>
      </c>
      <c r="O7" s="6" t="s">
        <v>1643</v>
      </c>
      <c r="P7" s="6" t="s">
        <v>1644</v>
      </c>
    </row>
    <row r="8" ht="20.7" customHeight="1" spans="1:16">
      <c r="A8" s="8" t="s">
        <v>1645</v>
      </c>
      <c r="B8" s="6" t="s">
        <v>1639</v>
      </c>
      <c r="C8" s="17">
        <f>SUM(D8:E8)</f>
        <v>0</v>
      </c>
      <c r="D8" s="12"/>
      <c r="E8" s="12"/>
      <c r="F8" s="17">
        <f>SUM(G8:H8)</f>
        <v>0</v>
      </c>
      <c r="G8" s="12"/>
      <c r="H8" s="12"/>
      <c r="I8" s="8" t="s">
        <v>1646</v>
      </c>
      <c r="J8" s="6" t="s">
        <v>1647</v>
      </c>
      <c r="K8" s="17">
        <f>SUM(L8:M8)</f>
        <v>0</v>
      </c>
      <c r="L8" s="12"/>
      <c r="M8" s="12"/>
      <c r="N8" s="17">
        <f>SUM(O8:P8)</f>
        <v>0</v>
      </c>
      <c r="O8" s="12"/>
      <c r="P8" s="12"/>
    </row>
    <row r="9" ht="20.7" customHeight="1" spans="1:16">
      <c r="A9" s="8" t="s">
        <v>1648</v>
      </c>
      <c r="B9" s="6" t="s">
        <v>1640</v>
      </c>
      <c r="C9" s="17">
        <f t="shared" ref="C9:C12" si="0">SUM(D9:E9)</f>
        <v>0</v>
      </c>
      <c r="D9" s="12"/>
      <c r="E9" s="12"/>
      <c r="F9" s="17">
        <f t="shared" ref="F9:F12" si="1">SUM(G9:H9)</f>
        <v>0</v>
      </c>
      <c r="G9" s="12"/>
      <c r="H9" s="12"/>
      <c r="I9" s="8" t="s">
        <v>1649</v>
      </c>
      <c r="J9" s="6" t="s">
        <v>1650</v>
      </c>
      <c r="K9" s="17">
        <f t="shared" ref="K9:K11" si="2">SUM(L9:M9)</f>
        <v>0</v>
      </c>
      <c r="L9" s="12"/>
      <c r="M9" s="12"/>
      <c r="N9" s="17">
        <f t="shared" ref="N9:N11" si="3">SUM(O9:P9)</f>
        <v>0</v>
      </c>
      <c r="O9" s="12"/>
      <c r="P9" s="12"/>
    </row>
    <row r="10" ht="20.7" customHeight="1" spans="1:16">
      <c r="A10" s="8" t="s">
        <v>1651</v>
      </c>
      <c r="B10" s="6" t="s">
        <v>1641</v>
      </c>
      <c r="C10" s="17">
        <f t="shared" si="0"/>
        <v>0</v>
      </c>
      <c r="D10" s="12"/>
      <c r="E10" s="12"/>
      <c r="F10" s="17">
        <f t="shared" si="1"/>
        <v>0</v>
      </c>
      <c r="G10" s="12"/>
      <c r="H10" s="12"/>
      <c r="I10" s="8" t="s">
        <v>1652</v>
      </c>
      <c r="J10" s="6" t="s">
        <v>1653</v>
      </c>
      <c r="K10" s="17">
        <f t="shared" si="2"/>
        <v>0</v>
      </c>
      <c r="L10" s="12"/>
      <c r="M10" s="12"/>
      <c r="N10" s="17">
        <f t="shared" si="3"/>
        <v>0</v>
      </c>
      <c r="O10" s="12"/>
      <c r="P10" s="12"/>
    </row>
    <row r="11" ht="20.7" customHeight="1" spans="1:16">
      <c r="A11" s="8" t="s">
        <v>1654</v>
      </c>
      <c r="B11" s="6" t="s">
        <v>1642</v>
      </c>
      <c r="C11" s="17">
        <f t="shared" si="0"/>
        <v>0</v>
      </c>
      <c r="D11" s="12"/>
      <c r="E11" s="12"/>
      <c r="F11" s="17">
        <f t="shared" si="1"/>
        <v>0</v>
      </c>
      <c r="G11" s="12"/>
      <c r="H11" s="12"/>
      <c r="I11" s="8" t="s">
        <v>1655</v>
      </c>
      <c r="J11" s="6" t="s">
        <v>1656</v>
      </c>
      <c r="K11" s="17">
        <f t="shared" si="2"/>
        <v>0</v>
      </c>
      <c r="L11" s="12"/>
      <c r="M11" s="12"/>
      <c r="N11" s="17">
        <f t="shared" si="3"/>
        <v>0</v>
      </c>
      <c r="O11" s="12"/>
      <c r="P11" s="12"/>
    </row>
    <row r="12" ht="20.7" customHeight="1" spans="1:16">
      <c r="A12" s="8" t="s">
        <v>1657</v>
      </c>
      <c r="B12" s="6" t="s">
        <v>1643</v>
      </c>
      <c r="C12" s="17">
        <f t="shared" si="0"/>
        <v>0</v>
      </c>
      <c r="D12" s="12"/>
      <c r="E12" s="12"/>
      <c r="F12" s="17">
        <f t="shared" si="1"/>
        <v>0</v>
      </c>
      <c r="G12" s="12"/>
      <c r="H12" s="12"/>
      <c r="I12" s="8"/>
      <c r="J12" s="6"/>
      <c r="K12" s="11"/>
      <c r="L12" s="11"/>
      <c r="M12" s="11"/>
      <c r="N12" s="11"/>
      <c r="O12" s="11"/>
      <c r="P12" s="11"/>
    </row>
    <row r="13" ht="20.7" customHeight="1" spans="1:16">
      <c r="A13" s="8"/>
      <c r="B13" s="6"/>
      <c r="C13" s="11"/>
      <c r="D13" s="11"/>
      <c r="E13" s="11"/>
      <c r="F13" s="11"/>
      <c r="G13" s="11"/>
      <c r="H13" s="11"/>
      <c r="I13" s="8"/>
      <c r="J13" s="6"/>
      <c r="K13" s="11"/>
      <c r="L13" s="11"/>
      <c r="M13" s="11"/>
      <c r="N13" s="11"/>
      <c r="O13" s="11"/>
      <c r="P13" s="11"/>
    </row>
    <row r="14" ht="20.7" customHeight="1" spans="1:16">
      <c r="A14" s="6" t="s">
        <v>1658</v>
      </c>
      <c r="B14" s="6" t="s">
        <v>1644</v>
      </c>
      <c r="C14" s="17">
        <f>SUM(C8:C12)</f>
        <v>0</v>
      </c>
      <c r="D14" s="17">
        <f t="shared" ref="D14:H14" si="4">SUM(D8:D12)</f>
        <v>0</v>
      </c>
      <c r="E14" s="17">
        <f t="shared" si="4"/>
        <v>0</v>
      </c>
      <c r="F14" s="17">
        <f t="shared" si="4"/>
        <v>0</v>
      </c>
      <c r="G14" s="17">
        <f t="shared" si="4"/>
        <v>0</v>
      </c>
      <c r="H14" s="17">
        <f t="shared" si="4"/>
        <v>0</v>
      </c>
      <c r="I14" s="6" t="s">
        <v>1659</v>
      </c>
      <c r="J14" s="6" t="s">
        <v>1660</v>
      </c>
      <c r="K14" s="17">
        <f>SUM(K8:K13)</f>
        <v>0</v>
      </c>
      <c r="L14" s="17">
        <f t="shared" ref="L14:P14" si="5">SUM(L8:L13)</f>
        <v>0</v>
      </c>
      <c r="M14" s="17">
        <f t="shared" si="5"/>
        <v>0</v>
      </c>
      <c r="N14" s="17">
        <f t="shared" si="5"/>
        <v>0</v>
      </c>
      <c r="O14" s="17">
        <f t="shared" si="5"/>
        <v>0</v>
      </c>
      <c r="P14" s="17">
        <f t="shared" si="5"/>
        <v>0</v>
      </c>
    </row>
    <row r="15" ht="20.7" customHeight="1" spans="1:16">
      <c r="A15" s="8" t="s">
        <v>1661</v>
      </c>
      <c r="B15" s="6" t="s">
        <v>1662</v>
      </c>
      <c r="C15" s="17">
        <f t="shared" ref="C15:C17" si="6">SUM(D15:E15)</f>
        <v>0</v>
      </c>
      <c r="D15" s="12"/>
      <c r="E15" s="12"/>
      <c r="F15" s="17">
        <f t="shared" ref="F15:F17" si="7">SUM(G15:H15)</f>
        <v>0</v>
      </c>
      <c r="G15" s="12"/>
      <c r="H15" s="12"/>
      <c r="I15" s="8" t="s">
        <v>1663</v>
      </c>
      <c r="J15" s="6" t="s">
        <v>1664</v>
      </c>
      <c r="K15" s="17">
        <f t="shared" ref="K15:K18" si="8">SUM(L15:M15)</f>
        <v>0</v>
      </c>
      <c r="L15" s="12"/>
      <c r="M15" s="11"/>
      <c r="N15" s="17">
        <f t="shared" ref="N15:N18" si="9">SUM(O15:P15)</f>
        <v>0</v>
      </c>
      <c r="O15" s="12"/>
      <c r="P15" s="11"/>
    </row>
    <row r="16" ht="20.7" customHeight="1" spans="1:16">
      <c r="A16" s="8" t="s">
        <v>1665</v>
      </c>
      <c r="B16" s="6" t="s">
        <v>1666</v>
      </c>
      <c r="C16" s="17">
        <f t="shared" si="6"/>
        <v>0</v>
      </c>
      <c r="D16" s="12"/>
      <c r="E16" s="12"/>
      <c r="F16" s="17">
        <f t="shared" si="7"/>
        <v>0</v>
      </c>
      <c r="G16" s="12"/>
      <c r="H16" s="11"/>
      <c r="I16" s="8" t="s">
        <v>1667</v>
      </c>
      <c r="J16" s="6" t="s">
        <v>1668</v>
      </c>
      <c r="K16" s="17">
        <f t="shared" si="8"/>
        <v>0</v>
      </c>
      <c r="L16" s="12"/>
      <c r="M16" s="12"/>
      <c r="N16" s="17">
        <f t="shared" si="9"/>
        <v>0</v>
      </c>
      <c r="O16" s="12"/>
      <c r="P16" s="12"/>
    </row>
    <row r="17" ht="20.7" customHeight="1" spans="1:16">
      <c r="A17" s="8" t="s">
        <v>1669</v>
      </c>
      <c r="B17" s="6" t="s">
        <v>1670</v>
      </c>
      <c r="C17" s="17">
        <f t="shared" si="6"/>
        <v>0</v>
      </c>
      <c r="D17" s="12"/>
      <c r="E17" s="12"/>
      <c r="F17" s="17">
        <f t="shared" si="7"/>
        <v>0</v>
      </c>
      <c r="G17" s="12"/>
      <c r="H17" s="12"/>
      <c r="I17" s="8" t="s">
        <v>1671</v>
      </c>
      <c r="J17" s="6" t="s">
        <v>1672</v>
      </c>
      <c r="K17" s="17">
        <f t="shared" si="8"/>
        <v>0</v>
      </c>
      <c r="L17" s="12"/>
      <c r="M17" s="12"/>
      <c r="N17" s="17">
        <f t="shared" si="9"/>
        <v>0</v>
      </c>
      <c r="O17" s="12"/>
      <c r="P17" s="12"/>
    </row>
    <row r="18" ht="20.7" customHeight="1" spans="1:16">
      <c r="A18" s="6"/>
      <c r="B18" s="6"/>
      <c r="C18" s="11"/>
      <c r="D18" s="11"/>
      <c r="E18" s="11"/>
      <c r="F18" s="11"/>
      <c r="G18" s="11"/>
      <c r="H18" s="11"/>
      <c r="I18" s="8" t="s">
        <v>1673</v>
      </c>
      <c r="J18" s="6" t="s">
        <v>1674</v>
      </c>
      <c r="K18" s="17">
        <f t="shared" si="8"/>
        <v>0</v>
      </c>
      <c r="L18" s="12"/>
      <c r="M18" s="12"/>
      <c r="N18" s="17">
        <f t="shared" si="9"/>
        <v>0</v>
      </c>
      <c r="O18" s="11"/>
      <c r="P18" s="11"/>
    </row>
    <row r="19" ht="20.7" customHeight="1" spans="1:16">
      <c r="A19" s="6" t="s">
        <v>1675</v>
      </c>
      <c r="B19" s="6" t="s">
        <v>1676</v>
      </c>
      <c r="C19" s="17">
        <f>SUM(C14:C17)</f>
        <v>0</v>
      </c>
      <c r="D19" s="17">
        <f t="shared" ref="D19:H19" si="10">SUM(D14:D17)</f>
        <v>0</v>
      </c>
      <c r="E19" s="17">
        <f t="shared" si="10"/>
        <v>0</v>
      </c>
      <c r="F19" s="17">
        <f t="shared" si="10"/>
        <v>0</v>
      </c>
      <c r="G19" s="17">
        <f t="shared" si="10"/>
        <v>0</v>
      </c>
      <c r="H19" s="17">
        <f t="shared" si="10"/>
        <v>0</v>
      </c>
      <c r="I19" s="6" t="s">
        <v>1677</v>
      </c>
      <c r="J19" s="6" t="s">
        <v>1678</v>
      </c>
      <c r="K19" s="17">
        <f>SUM(K14:K18)</f>
        <v>0</v>
      </c>
      <c r="L19" s="17">
        <f t="shared" ref="L19:P19" si="11">SUM(L14:L18)</f>
        <v>0</v>
      </c>
      <c r="M19" s="17">
        <f t="shared" si="11"/>
        <v>0</v>
      </c>
      <c r="N19" s="17">
        <f t="shared" si="11"/>
        <v>0</v>
      </c>
      <c r="O19" s="17">
        <f t="shared" si="11"/>
        <v>0</v>
      </c>
      <c r="P19" s="17">
        <f t="shared" si="11"/>
        <v>0</v>
      </c>
    </row>
    <row r="20" ht="44.7" customHeight="1" spans="1:16">
      <c r="A20" s="30" t="s">
        <v>1679</v>
      </c>
      <c r="B20" s="30"/>
      <c r="C20" s="30"/>
      <c r="D20" s="30"/>
      <c r="E20" s="30"/>
      <c r="F20" s="30"/>
      <c r="G20" s="30"/>
      <c r="H20" s="30"/>
      <c r="I20" s="30"/>
      <c r="J20" s="30"/>
      <c r="K20" s="30"/>
      <c r="L20" s="30"/>
      <c r="M20" s="30"/>
      <c r="N20" s="30"/>
      <c r="O20" s="30"/>
      <c r="P20" s="30"/>
    </row>
    <row r="22" spans="1:4">
      <c r="A22" s="13" t="s">
        <v>1680</v>
      </c>
      <c r="B22" s="31" t="s">
        <v>1681</v>
      </c>
      <c r="C22" s="31"/>
      <c r="D22" s="31"/>
    </row>
  </sheetData>
  <mergeCells count="14">
    <mergeCell ref="A2:P2"/>
    <mergeCell ref="A3:P3"/>
    <mergeCell ref="A4:H4"/>
    <mergeCell ref="I4:P4"/>
    <mergeCell ref="C5:E5"/>
    <mergeCell ref="F5:H5"/>
    <mergeCell ref="K5:M5"/>
    <mergeCell ref="N5:P5"/>
    <mergeCell ref="A20:P20"/>
    <mergeCell ref="B22:D22"/>
    <mergeCell ref="A5:A6"/>
    <mergeCell ref="B5:B6"/>
    <mergeCell ref="I5:I6"/>
    <mergeCell ref="J5:J6"/>
  </mergeCells>
  <printOptions horizontalCentered="1"/>
  <pageMargins left="0.393700787401575" right="0.393700787401575" top="0.590551181102362" bottom="0.62992125984252" header="0.393700787401575" footer="0.393700787401575"/>
  <pageSetup paperSize="9" scale="70" firstPageNumber="78" orientation="landscape" useFirstPageNumber="1" horizontalDpi="300" verticalDpi="300"/>
  <headerFooter alignWithMargins="0" scaleWithDoc="0" differentOddEven="1">
    <oddFooter>&amp;L&amp;16—&amp;P—</oddFooter>
    <evenFooter>&amp;R&amp;16—&amp;P—</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workbookViewId="0">
      <pane ySplit="6" topLeftCell="A50" activePane="bottomLeft" state="frozen"/>
      <selection/>
      <selection pane="bottomLeft" activeCell="C61" sqref="C61:E61"/>
    </sheetView>
  </sheetViews>
  <sheetFormatPr defaultColWidth="7.7" defaultRowHeight="13.5"/>
  <cols>
    <col min="1" max="1" width="9.8" style="2" customWidth="1"/>
    <col min="2" max="2" width="36.7" style="2" customWidth="1"/>
    <col min="3" max="9" width="12.2" style="2" customWidth="1"/>
    <col min="10" max="16384" width="7.7" style="2"/>
  </cols>
  <sheetData>
    <row r="1" ht="14.25" spans="1:1">
      <c r="A1" s="3" t="s">
        <v>1682</v>
      </c>
    </row>
    <row r="2" s="1" customFormat="1" ht="34.95" customHeight="1" spans="1:9">
      <c r="A2" s="23" t="s">
        <v>1683</v>
      </c>
      <c r="B2" s="23"/>
      <c r="C2" s="23"/>
      <c r="D2" s="23"/>
      <c r="E2" s="23"/>
      <c r="F2" s="23"/>
      <c r="G2" s="23"/>
      <c r="H2" s="23"/>
      <c r="I2" s="23"/>
    </row>
    <row r="3" ht="21" customHeight="1" spans="1:9">
      <c r="A3" s="5" t="s">
        <v>26</v>
      </c>
      <c r="B3" s="5"/>
      <c r="C3" s="5"/>
      <c r="D3" s="5"/>
      <c r="E3" s="5"/>
      <c r="F3" s="5"/>
      <c r="G3" s="5"/>
      <c r="H3" s="5"/>
      <c r="I3" s="5"/>
    </row>
    <row r="4" ht="24" customHeight="1" spans="1:9">
      <c r="A4" s="16" t="s">
        <v>1684</v>
      </c>
      <c r="B4" s="16" t="s">
        <v>1685</v>
      </c>
      <c r="C4" s="16" t="s">
        <v>1686</v>
      </c>
      <c r="D4" s="7"/>
      <c r="E4" s="7"/>
      <c r="F4" s="16" t="s">
        <v>1687</v>
      </c>
      <c r="G4" s="7"/>
      <c r="H4" s="7"/>
      <c r="I4" s="16" t="s">
        <v>1688</v>
      </c>
    </row>
    <row r="5" ht="24" customHeight="1" spans="1:9">
      <c r="A5" s="7"/>
      <c r="B5" s="7"/>
      <c r="C5" s="16" t="s">
        <v>1174</v>
      </c>
      <c r="D5" s="16" t="s">
        <v>1636</v>
      </c>
      <c r="E5" s="16" t="s">
        <v>1637</v>
      </c>
      <c r="F5" s="16" t="s">
        <v>1174</v>
      </c>
      <c r="G5" s="16" t="s">
        <v>1636</v>
      </c>
      <c r="H5" s="16" t="s">
        <v>1637</v>
      </c>
      <c r="I5" s="7"/>
    </row>
    <row r="6" ht="16.5" customHeight="1" spans="1:9">
      <c r="A6" s="7"/>
      <c r="B6" s="6" t="s">
        <v>1638</v>
      </c>
      <c r="C6" s="16" t="s">
        <v>1639</v>
      </c>
      <c r="D6" s="16" t="s">
        <v>1640</v>
      </c>
      <c r="E6" s="16" t="s">
        <v>1641</v>
      </c>
      <c r="F6" s="16" t="s">
        <v>1642</v>
      </c>
      <c r="G6" s="16" t="s">
        <v>1643</v>
      </c>
      <c r="H6" s="16" t="s">
        <v>1644</v>
      </c>
      <c r="I6" s="6" t="s">
        <v>1662</v>
      </c>
    </row>
    <row r="7" ht="22.2" customHeight="1" spans="1:9">
      <c r="A7" s="8" t="s">
        <v>1689</v>
      </c>
      <c r="B7" s="8" t="s">
        <v>1645</v>
      </c>
      <c r="C7" s="17">
        <f>SUM(C8:C38)</f>
        <v>0</v>
      </c>
      <c r="D7" s="17">
        <f t="shared" ref="D7:H7" si="0">SUM(D8:D38)</f>
        <v>0</v>
      </c>
      <c r="E7" s="17">
        <f t="shared" si="0"/>
        <v>0</v>
      </c>
      <c r="F7" s="17">
        <f t="shared" si="0"/>
        <v>0</v>
      </c>
      <c r="G7" s="17">
        <f t="shared" si="0"/>
        <v>0</v>
      </c>
      <c r="H7" s="17">
        <f t="shared" si="0"/>
        <v>0</v>
      </c>
      <c r="I7" s="24">
        <f>IF(C7&gt;0,F7/C7*100,)</f>
        <v>0</v>
      </c>
    </row>
    <row r="8" ht="22.2" customHeight="1" spans="1:9">
      <c r="A8" s="8">
        <v>103060103</v>
      </c>
      <c r="B8" s="8" t="s">
        <v>1690</v>
      </c>
      <c r="C8" s="17">
        <f>SUM(D8:E8)</f>
        <v>0</v>
      </c>
      <c r="D8" s="12"/>
      <c r="E8" s="12"/>
      <c r="F8" s="17">
        <f>SUM(G8:H8)</f>
        <v>0</v>
      </c>
      <c r="G8" s="12"/>
      <c r="H8" s="12"/>
      <c r="I8" s="24">
        <f t="shared" ref="I8:I55" si="1">IF(C8&gt;0,F8/C8*100,)</f>
        <v>0</v>
      </c>
    </row>
    <row r="9" ht="22.2" customHeight="1" spans="1:9">
      <c r="A9" s="8">
        <v>103060104</v>
      </c>
      <c r="B9" s="8" t="s">
        <v>1691</v>
      </c>
      <c r="C9" s="17">
        <f t="shared" ref="C9:C54" si="2">SUM(D9:E9)</f>
        <v>0</v>
      </c>
      <c r="D9" s="12"/>
      <c r="E9" s="12"/>
      <c r="F9" s="17">
        <f t="shared" ref="F9:F54" si="3">SUM(G9:H9)</f>
        <v>0</v>
      </c>
      <c r="G9" s="12"/>
      <c r="H9" s="12"/>
      <c r="I9" s="24">
        <f t="shared" si="1"/>
        <v>0</v>
      </c>
    </row>
    <row r="10" ht="22.2" customHeight="1" spans="1:9">
      <c r="A10" s="8" t="s">
        <v>1692</v>
      </c>
      <c r="B10" s="8" t="s">
        <v>1693</v>
      </c>
      <c r="C10" s="17">
        <f t="shared" si="2"/>
        <v>0</v>
      </c>
      <c r="D10" s="12"/>
      <c r="E10" s="12"/>
      <c r="F10" s="17">
        <f t="shared" si="3"/>
        <v>0</v>
      </c>
      <c r="G10" s="12"/>
      <c r="H10" s="12"/>
      <c r="I10" s="24">
        <f t="shared" si="1"/>
        <v>0</v>
      </c>
    </row>
    <row r="11" ht="22.2" customHeight="1" spans="1:9">
      <c r="A11" s="8">
        <v>103060106</v>
      </c>
      <c r="B11" s="8" t="s">
        <v>1694</v>
      </c>
      <c r="C11" s="17">
        <f t="shared" si="2"/>
        <v>0</v>
      </c>
      <c r="D11" s="12"/>
      <c r="E11" s="12"/>
      <c r="F11" s="17">
        <f t="shared" si="3"/>
        <v>0</v>
      </c>
      <c r="G11" s="12"/>
      <c r="H11" s="12"/>
      <c r="I11" s="24">
        <f t="shared" si="1"/>
        <v>0</v>
      </c>
    </row>
    <row r="12" ht="22.2" customHeight="1" spans="1:9">
      <c r="A12" s="8">
        <v>103060107</v>
      </c>
      <c r="B12" s="8" t="s">
        <v>1695</v>
      </c>
      <c r="C12" s="17">
        <f t="shared" si="2"/>
        <v>0</v>
      </c>
      <c r="D12" s="12"/>
      <c r="E12" s="12"/>
      <c r="F12" s="17">
        <f t="shared" si="3"/>
        <v>0</v>
      </c>
      <c r="G12" s="12"/>
      <c r="H12" s="12"/>
      <c r="I12" s="24">
        <f t="shared" si="1"/>
        <v>0</v>
      </c>
    </row>
    <row r="13" ht="22.2" customHeight="1" spans="1:9">
      <c r="A13" s="8">
        <v>103060108</v>
      </c>
      <c r="B13" s="8" t="s">
        <v>1696</v>
      </c>
      <c r="C13" s="17">
        <f t="shared" si="2"/>
        <v>0</v>
      </c>
      <c r="D13" s="12"/>
      <c r="E13" s="12"/>
      <c r="F13" s="17">
        <f t="shared" si="3"/>
        <v>0</v>
      </c>
      <c r="G13" s="12"/>
      <c r="H13" s="12"/>
      <c r="I13" s="24">
        <f t="shared" si="1"/>
        <v>0</v>
      </c>
    </row>
    <row r="14" ht="22.2" customHeight="1" spans="1:9">
      <c r="A14" s="8" t="s">
        <v>1697</v>
      </c>
      <c r="B14" s="8" t="s">
        <v>1698</v>
      </c>
      <c r="C14" s="17">
        <f t="shared" si="2"/>
        <v>0</v>
      </c>
      <c r="D14" s="12"/>
      <c r="E14" s="12"/>
      <c r="F14" s="17">
        <f t="shared" si="3"/>
        <v>0</v>
      </c>
      <c r="G14" s="12"/>
      <c r="H14" s="12"/>
      <c r="I14" s="24">
        <f t="shared" si="1"/>
        <v>0</v>
      </c>
    </row>
    <row r="15" ht="22.2" customHeight="1" spans="1:9">
      <c r="A15" s="8">
        <v>103060112</v>
      </c>
      <c r="B15" s="8" t="s">
        <v>1699</v>
      </c>
      <c r="C15" s="17">
        <f t="shared" si="2"/>
        <v>0</v>
      </c>
      <c r="D15" s="12"/>
      <c r="E15" s="12"/>
      <c r="F15" s="17">
        <f t="shared" si="3"/>
        <v>0</v>
      </c>
      <c r="G15" s="12"/>
      <c r="H15" s="12"/>
      <c r="I15" s="24">
        <f t="shared" si="1"/>
        <v>0</v>
      </c>
    </row>
    <row r="16" ht="22.2" customHeight="1" spans="1:9">
      <c r="A16" s="8" t="s">
        <v>1700</v>
      </c>
      <c r="B16" s="8" t="s">
        <v>1701</v>
      </c>
      <c r="C16" s="17">
        <f t="shared" si="2"/>
        <v>0</v>
      </c>
      <c r="D16" s="12"/>
      <c r="E16" s="12"/>
      <c r="F16" s="17">
        <f t="shared" si="3"/>
        <v>0</v>
      </c>
      <c r="G16" s="12"/>
      <c r="H16" s="12"/>
      <c r="I16" s="24">
        <f t="shared" si="1"/>
        <v>0</v>
      </c>
    </row>
    <row r="17" ht="22.2" customHeight="1" spans="1:9">
      <c r="A17" s="8">
        <v>103060114</v>
      </c>
      <c r="B17" s="8" t="s">
        <v>1702</v>
      </c>
      <c r="C17" s="17">
        <f t="shared" si="2"/>
        <v>0</v>
      </c>
      <c r="D17" s="12"/>
      <c r="E17" s="12"/>
      <c r="F17" s="17">
        <f t="shared" si="3"/>
        <v>0</v>
      </c>
      <c r="G17" s="12"/>
      <c r="H17" s="12"/>
      <c r="I17" s="24">
        <f t="shared" si="1"/>
        <v>0</v>
      </c>
    </row>
    <row r="18" ht="22.2" customHeight="1" spans="1:9">
      <c r="A18" s="8">
        <v>103060115</v>
      </c>
      <c r="B18" s="8" t="s">
        <v>1703</v>
      </c>
      <c r="C18" s="17">
        <f t="shared" si="2"/>
        <v>0</v>
      </c>
      <c r="D18" s="12"/>
      <c r="E18" s="12"/>
      <c r="F18" s="17">
        <f t="shared" si="3"/>
        <v>0</v>
      </c>
      <c r="G18" s="12"/>
      <c r="H18" s="12"/>
      <c r="I18" s="24">
        <f t="shared" si="1"/>
        <v>0</v>
      </c>
    </row>
    <row r="19" ht="22.2" customHeight="1" spans="1:9">
      <c r="A19" s="8" t="s">
        <v>1704</v>
      </c>
      <c r="B19" s="8" t="s">
        <v>1705</v>
      </c>
      <c r="C19" s="17">
        <f t="shared" si="2"/>
        <v>0</v>
      </c>
      <c r="D19" s="12"/>
      <c r="E19" s="12"/>
      <c r="F19" s="17">
        <f t="shared" si="3"/>
        <v>0</v>
      </c>
      <c r="G19" s="12"/>
      <c r="H19" s="12"/>
      <c r="I19" s="24">
        <f t="shared" si="1"/>
        <v>0</v>
      </c>
    </row>
    <row r="20" ht="22.2" customHeight="1" spans="1:9">
      <c r="A20" s="8">
        <v>103060117</v>
      </c>
      <c r="B20" s="8" t="s">
        <v>1706</v>
      </c>
      <c r="C20" s="17">
        <f t="shared" si="2"/>
        <v>0</v>
      </c>
      <c r="D20" s="12"/>
      <c r="E20" s="12"/>
      <c r="F20" s="17">
        <f t="shared" si="3"/>
        <v>0</v>
      </c>
      <c r="G20" s="12"/>
      <c r="H20" s="12"/>
      <c r="I20" s="24">
        <f t="shared" si="1"/>
        <v>0</v>
      </c>
    </row>
    <row r="21" ht="22.2" customHeight="1" spans="1:9">
      <c r="A21" s="8" t="s">
        <v>1707</v>
      </c>
      <c r="B21" s="8" t="s">
        <v>1708</v>
      </c>
      <c r="C21" s="17">
        <f t="shared" si="2"/>
        <v>0</v>
      </c>
      <c r="D21" s="12"/>
      <c r="E21" s="12"/>
      <c r="F21" s="17">
        <f t="shared" si="3"/>
        <v>0</v>
      </c>
      <c r="G21" s="12"/>
      <c r="H21" s="12"/>
      <c r="I21" s="24">
        <f t="shared" si="1"/>
        <v>0</v>
      </c>
    </row>
    <row r="22" ht="22.2" customHeight="1" spans="1:9">
      <c r="A22" s="8" t="s">
        <v>1709</v>
      </c>
      <c r="B22" s="8" t="s">
        <v>1710</v>
      </c>
      <c r="C22" s="17">
        <f t="shared" si="2"/>
        <v>0</v>
      </c>
      <c r="D22" s="12"/>
      <c r="E22" s="12"/>
      <c r="F22" s="17">
        <f t="shared" si="3"/>
        <v>0</v>
      </c>
      <c r="G22" s="12"/>
      <c r="H22" s="12"/>
      <c r="I22" s="24">
        <f t="shared" si="1"/>
        <v>0</v>
      </c>
    </row>
    <row r="23" ht="22.2" customHeight="1" spans="1:9">
      <c r="A23" s="8" t="s">
        <v>1711</v>
      </c>
      <c r="B23" s="8" t="s">
        <v>1712</v>
      </c>
      <c r="C23" s="17">
        <f t="shared" si="2"/>
        <v>0</v>
      </c>
      <c r="D23" s="12"/>
      <c r="E23" s="12"/>
      <c r="F23" s="17">
        <f t="shared" si="3"/>
        <v>0</v>
      </c>
      <c r="G23" s="12"/>
      <c r="H23" s="12"/>
      <c r="I23" s="24">
        <f t="shared" si="1"/>
        <v>0</v>
      </c>
    </row>
    <row r="24" ht="22.2" customHeight="1" spans="1:9">
      <c r="A24" s="8">
        <v>103060121</v>
      </c>
      <c r="B24" s="8" t="s">
        <v>1713</v>
      </c>
      <c r="C24" s="17">
        <f t="shared" si="2"/>
        <v>0</v>
      </c>
      <c r="D24" s="12"/>
      <c r="E24" s="12"/>
      <c r="F24" s="17">
        <f t="shared" si="3"/>
        <v>0</v>
      </c>
      <c r="G24" s="12"/>
      <c r="H24" s="12"/>
      <c r="I24" s="24">
        <f t="shared" si="1"/>
        <v>0</v>
      </c>
    </row>
    <row r="25" ht="22.2" customHeight="1" spans="1:9">
      <c r="A25" s="8">
        <v>103060122</v>
      </c>
      <c r="B25" s="8" t="s">
        <v>1714</v>
      </c>
      <c r="C25" s="17">
        <f t="shared" si="2"/>
        <v>0</v>
      </c>
      <c r="D25" s="12"/>
      <c r="E25" s="12"/>
      <c r="F25" s="17">
        <f t="shared" si="3"/>
        <v>0</v>
      </c>
      <c r="G25" s="12"/>
      <c r="H25" s="12"/>
      <c r="I25" s="24">
        <f t="shared" si="1"/>
        <v>0</v>
      </c>
    </row>
    <row r="26" ht="22.2" customHeight="1" spans="1:9">
      <c r="A26" s="8">
        <v>103060123</v>
      </c>
      <c r="B26" s="8" t="s">
        <v>1715</v>
      </c>
      <c r="C26" s="17">
        <f t="shared" si="2"/>
        <v>0</v>
      </c>
      <c r="D26" s="12"/>
      <c r="E26" s="12"/>
      <c r="F26" s="17">
        <f t="shared" si="3"/>
        <v>0</v>
      </c>
      <c r="G26" s="12"/>
      <c r="H26" s="12"/>
      <c r="I26" s="24">
        <f t="shared" si="1"/>
        <v>0</v>
      </c>
    </row>
    <row r="27" ht="22.2" customHeight="1" spans="1:9">
      <c r="A27" s="8">
        <v>103060124</v>
      </c>
      <c r="B27" s="8" t="s">
        <v>1716</v>
      </c>
      <c r="C27" s="17">
        <f t="shared" si="2"/>
        <v>0</v>
      </c>
      <c r="D27" s="12"/>
      <c r="E27" s="12"/>
      <c r="F27" s="17">
        <f t="shared" si="3"/>
        <v>0</v>
      </c>
      <c r="G27" s="12"/>
      <c r="H27" s="12"/>
      <c r="I27" s="24">
        <f t="shared" si="1"/>
        <v>0</v>
      </c>
    </row>
    <row r="28" ht="22.2" customHeight="1" spans="1:9">
      <c r="A28" s="8" t="s">
        <v>1717</v>
      </c>
      <c r="B28" s="8" t="s">
        <v>1718</v>
      </c>
      <c r="C28" s="17">
        <f t="shared" si="2"/>
        <v>0</v>
      </c>
      <c r="D28" s="12"/>
      <c r="E28" s="12"/>
      <c r="F28" s="17">
        <f t="shared" si="3"/>
        <v>0</v>
      </c>
      <c r="G28" s="12"/>
      <c r="H28" s="12"/>
      <c r="I28" s="24">
        <f t="shared" si="1"/>
        <v>0</v>
      </c>
    </row>
    <row r="29" ht="22.2" customHeight="1" spans="1:9">
      <c r="A29" s="8">
        <v>103060126</v>
      </c>
      <c r="B29" s="8" t="s">
        <v>1719</v>
      </c>
      <c r="C29" s="17">
        <f t="shared" si="2"/>
        <v>0</v>
      </c>
      <c r="D29" s="12"/>
      <c r="E29" s="12"/>
      <c r="F29" s="17">
        <f t="shared" si="3"/>
        <v>0</v>
      </c>
      <c r="G29" s="12"/>
      <c r="H29" s="12"/>
      <c r="I29" s="24">
        <f t="shared" si="1"/>
        <v>0</v>
      </c>
    </row>
    <row r="30" ht="22.2" customHeight="1" spans="1:9">
      <c r="A30" s="8">
        <v>103060127</v>
      </c>
      <c r="B30" s="8" t="s">
        <v>1720</v>
      </c>
      <c r="C30" s="17">
        <f t="shared" si="2"/>
        <v>0</v>
      </c>
      <c r="D30" s="12"/>
      <c r="E30" s="12"/>
      <c r="F30" s="17">
        <f t="shared" si="3"/>
        <v>0</v>
      </c>
      <c r="G30" s="12"/>
      <c r="H30" s="12"/>
      <c r="I30" s="24">
        <f t="shared" si="1"/>
        <v>0</v>
      </c>
    </row>
    <row r="31" ht="22.2" customHeight="1" spans="1:9">
      <c r="A31" s="8" t="s">
        <v>1721</v>
      </c>
      <c r="B31" s="8" t="s">
        <v>1722</v>
      </c>
      <c r="C31" s="17">
        <f t="shared" si="2"/>
        <v>0</v>
      </c>
      <c r="D31" s="12"/>
      <c r="E31" s="12"/>
      <c r="F31" s="17">
        <f t="shared" si="3"/>
        <v>0</v>
      </c>
      <c r="G31" s="12"/>
      <c r="H31" s="12"/>
      <c r="I31" s="24">
        <f t="shared" si="1"/>
        <v>0</v>
      </c>
    </row>
    <row r="32" ht="22.2" customHeight="1" spans="1:9">
      <c r="A32" s="8" t="s">
        <v>1723</v>
      </c>
      <c r="B32" s="8" t="s">
        <v>1724</v>
      </c>
      <c r="C32" s="17">
        <f t="shared" si="2"/>
        <v>0</v>
      </c>
      <c r="D32" s="12"/>
      <c r="E32" s="12"/>
      <c r="F32" s="17">
        <f t="shared" si="3"/>
        <v>0</v>
      </c>
      <c r="G32" s="12"/>
      <c r="H32" s="12"/>
      <c r="I32" s="24">
        <f t="shared" si="1"/>
        <v>0</v>
      </c>
    </row>
    <row r="33" ht="22.2" customHeight="1" spans="1:9">
      <c r="A33" s="8">
        <v>103060130</v>
      </c>
      <c r="B33" s="8" t="s">
        <v>1725</v>
      </c>
      <c r="C33" s="17">
        <f t="shared" si="2"/>
        <v>0</v>
      </c>
      <c r="D33" s="12"/>
      <c r="E33" s="12"/>
      <c r="F33" s="17">
        <f t="shared" si="3"/>
        <v>0</v>
      </c>
      <c r="G33" s="12"/>
      <c r="H33" s="12"/>
      <c r="I33" s="24">
        <f t="shared" si="1"/>
        <v>0</v>
      </c>
    </row>
    <row r="34" ht="22.2" customHeight="1" spans="1:9">
      <c r="A34" s="8" t="s">
        <v>1726</v>
      </c>
      <c r="B34" s="8" t="s">
        <v>1727</v>
      </c>
      <c r="C34" s="17">
        <f t="shared" si="2"/>
        <v>0</v>
      </c>
      <c r="D34" s="12"/>
      <c r="E34" s="12"/>
      <c r="F34" s="17">
        <f t="shared" si="3"/>
        <v>0</v>
      </c>
      <c r="G34" s="12"/>
      <c r="H34" s="12"/>
      <c r="I34" s="24">
        <f t="shared" si="1"/>
        <v>0</v>
      </c>
    </row>
    <row r="35" ht="22.2" customHeight="1" spans="1:9">
      <c r="A35" s="8">
        <v>103060132</v>
      </c>
      <c r="B35" s="8" t="s">
        <v>1728</v>
      </c>
      <c r="C35" s="17">
        <f t="shared" si="2"/>
        <v>0</v>
      </c>
      <c r="D35" s="12"/>
      <c r="E35" s="12"/>
      <c r="F35" s="17">
        <f t="shared" si="3"/>
        <v>0</v>
      </c>
      <c r="G35" s="12"/>
      <c r="H35" s="12"/>
      <c r="I35" s="24">
        <f t="shared" si="1"/>
        <v>0</v>
      </c>
    </row>
    <row r="36" ht="22.2" customHeight="1" spans="1:9">
      <c r="A36" s="8" t="s">
        <v>1729</v>
      </c>
      <c r="B36" s="8" t="s">
        <v>1730</v>
      </c>
      <c r="C36" s="17">
        <f t="shared" si="2"/>
        <v>0</v>
      </c>
      <c r="D36" s="12"/>
      <c r="E36" s="12"/>
      <c r="F36" s="17">
        <f t="shared" si="3"/>
        <v>0</v>
      </c>
      <c r="G36" s="12"/>
      <c r="H36" s="12"/>
      <c r="I36" s="24">
        <f t="shared" si="1"/>
        <v>0</v>
      </c>
    </row>
    <row r="37" ht="22.2" customHeight="1" spans="1:9">
      <c r="A37" s="8" t="s">
        <v>1731</v>
      </c>
      <c r="B37" s="8" t="s">
        <v>1732</v>
      </c>
      <c r="C37" s="17">
        <f t="shared" si="2"/>
        <v>0</v>
      </c>
      <c r="D37" s="12"/>
      <c r="E37" s="12"/>
      <c r="F37" s="17">
        <f t="shared" si="3"/>
        <v>0</v>
      </c>
      <c r="G37" s="12"/>
      <c r="H37" s="12"/>
      <c r="I37" s="24">
        <f t="shared" si="1"/>
        <v>0</v>
      </c>
    </row>
    <row r="38" ht="22.2" customHeight="1" spans="1:9">
      <c r="A38" s="8" t="s">
        <v>1733</v>
      </c>
      <c r="B38" s="8" t="s">
        <v>1734</v>
      </c>
      <c r="C38" s="17">
        <f t="shared" si="2"/>
        <v>0</v>
      </c>
      <c r="D38" s="12"/>
      <c r="E38" s="12"/>
      <c r="F38" s="17">
        <f t="shared" si="3"/>
        <v>0</v>
      </c>
      <c r="G38" s="12"/>
      <c r="H38" s="12"/>
      <c r="I38" s="24">
        <f t="shared" si="1"/>
        <v>0</v>
      </c>
    </row>
    <row r="39" ht="22.2" customHeight="1" spans="1:9">
      <c r="A39" s="8" t="s">
        <v>1735</v>
      </c>
      <c r="B39" s="8" t="s">
        <v>1648</v>
      </c>
      <c r="C39" s="17">
        <f t="shared" si="2"/>
        <v>0</v>
      </c>
      <c r="D39" s="17">
        <f>SUM(D40:D43)</f>
        <v>0</v>
      </c>
      <c r="E39" s="17">
        <f t="shared" ref="E39:H39" si="4">SUM(E40:E43)</f>
        <v>0</v>
      </c>
      <c r="F39" s="17">
        <f t="shared" si="4"/>
        <v>0</v>
      </c>
      <c r="G39" s="17">
        <f t="shared" si="4"/>
        <v>0</v>
      </c>
      <c r="H39" s="17">
        <f t="shared" si="4"/>
        <v>0</v>
      </c>
      <c r="I39" s="24">
        <f t="shared" si="1"/>
        <v>0</v>
      </c>
    </row>
    <row r="40" ht="22.2" customHeight="1" spans="1:9">
      <c r="A40" s="8" t="s">
        <v>1736</v>
      </c>
      <c r="B40" s="8" t="s">
        <v>1737</v>
      </c>
      <c r="C40" s="17">
        <f t="shared" si="2"/>
        <v>0</v>
      </c>
      <c r="D40" s="12"/>
      <c r="E40" s="12"/>
      <c r="F40" s="17">
        <f t="shared" si="3"/>
        <v>0</v>
      </c>
      <c r="G40" s="12"/>
      <c r="H40" s="12"/>
      <c r="I40" s="24">
        <f t="shared" si="1"/>
        <v>0</v>
      </c>
    </row>
    <row r="41" ht="22.2" customHeight="1" spans="1:9">
      <c r="A41" s="8" t="s">
        <v>1738</v>
      </c>
      <c r="B41" s="8" t="s">
        <v>1739</v>
      </c>
      <c r="C41" s="17">
        <f t="shared" si="2"/>
        <v>0</v>
      </c>
      <c r="D41" s="12"/>
      <c r="E41" s="12"/>
      <c r="F41" s="17">
        <f t="shared" si="3"/>
        <v>0</v>
      </c>
      <c r="G41" s="12"/>
      <c r="H41" s="12"/>
      <c r="I41" s="24">
        <f t="shared" si="1"/>
        <v>0</v>
      </c>
    </row>
    <row r="42" ht="22.2" customHeight="1" spans="1:9">
      <c r="A42" s="8" t="s">
        <v>1740</v>
      </c>
      <c r="B42" s="8" t="s">
        <v>1741</v>
      </c>
      <c r="C42" s="17">
        <f t="shared" si="2"/>
        <v>0</v>
      </c>
      <c r="D42" s="12"/>
      <c r="E42" s="12"/>
      <c r="F42" s="17">
        <f t="shared" si="3"/>
        <v>0</v>
      </c>
      <c r="G42" s="12"/>
      <c r="H42" s="12"/>
      <c r="I42" s="24">
        <f t="shared" si="1"/>
        <v>0</v>
      </c>
    </row>
    <row r="43" ht="22.2" customHeight="1" spans="1:9">
      <c r="A43" s="8" t="s">
        <v>1742</v>
      </c>
      <c r="B43" s="8" t="s">
        <v>1743</v>
      </c>
      <c r="C43" s="17">
        <f t="shared" si="2"/>
        <v>0</v>
      </c>
      <c r="D43" s="12"/>
      <c r="E43" s="12"/>
      <c r="F43" s="17">
        <f t="shared" si="3"/>
        <v>0</v>
      </c>
      <c r="G43" s="12"/>
      <c r="H43" s="12"/>
      <c r="I43" s="24">
        <f t="shared" si="1"/>
        <v>0</v>
      </c>
    </row>
    <row r="44" ht="22.2" customHeight="1" spans="1:9">
      <c r="A44" s="8" t="s">
        <v>1744</v>
      </c>
      <c r="B44" s="8" t="s">
        <v>1651</v>
      </c>
      <c r="C44" s="17">
        <f t="shared" si="2"/>
        <v>0</v>
      </c>
      <c r="D44" s="17">
        <f>SUM(D45:D49)</f>
        <v>0</v>
      </c>
      <c r="E44" s="17">
        <f t="shared" ref="E44:H44" si="5">SUM(E45:E49)</f>
        <v>0</v>
      </c>
      <c r="F44" s="17">
        <f t="shared" si="5"/>
        <v>0</v>
      </c>
      <c r="G44" s="17">
        <f t="shared" si="5"/>
        <v>0</v>
      </c>
      <c r="H44" s="17">
        <f t="shared" si="5"/>
        <v>0</v>
      </c>
      <c r="I44" s="24">
        <f t="shared" si="1"/>
        <v>0</v>
      </c>
    </row>
    <row r="45" ht="22.2" customHeight="1" spans="1:9">
      <c r="A45" s="8">
        <v>103060301</v>
      </c>
      <c r="B45" s="8" t="s">
        <v>1745</v>
      </c>
      <c r="C45" s="17">
        <f t="shared" si="2"/>
        <v>0</v>
      </c>
      <c r="D45" s="12"/>
      <c r="E45" s="12"/>
      <c r="F45" s="17">
        <f t="shared" si="3"/>
        <v>0</v>
      </c>
      <c r="G45" s="12"/>
      <c r="H45" s="12"/>
      <c r="I45" s="24">
        <f t="shared" si="1"/>
        <v>0</v>
      </c>
    </row>
    <row r="46" ht="22.2" customHeight="1" spans="1:9">
      <c r="A46" s="8" t="s">
        <v>1746</v>
      </c>
      <c r="B46" s="8" t="s">
        <v>1747</v>
      </c>
      <c r="C46" s="17">
        <f t="shared" si="2"/>
        <v>0</v>
      </c>
      <c r="D46" s="12"/>
      <c r="E46" s="12"/>
      <c r="F46" s="17">
        <f t="shared" si="3"/>
        <v>0</v>
      </c>
      <c r="G46" s="12"/>
      <c r="H46" s="12"/>
      <c r="I46" s="24">
        <f t="shared" si="1"/>
        <v>0</v>
      </c>
    </row>
    <row r="47" ht="22.2" customHeight="1" spans="1:9">
      <c r="A47" s="8" t="s">
        <v>1748</v>
      </c>
      <c r="B47" s="8" t="s">
        <v>1749</v>
      </c>
      <c r="C47" s="17">
        <f t="shared" si="2"/>
        <v>0</v>
      </c>
      <c r="D47" s="12"/>
      <c r="E47" s="12"/>
      <c r="F47" s="17">
        <f t="shared" si="3"/>
        <v>0</v>
      </c>
      <c r="G47" s="12"/>
      <c r="H47" s="12"/>
      <c r="I47" s="24">
        <f t="shared" si="1"/>
        <v>0</v>
      </c>
    </row>
    <row r="48" ht="22.2" customHeight="1" spans="1:9">
      <c r="A48" s="8" t="s">
        <v>1750</v>
      </c>
      <c r="B48" s="8" t="s">
        <v>1751</v>
      </c>
      <c r="C48" s="17">
        <f t="shared" si="2"/>
        <v>0</v>
      </c>
      <c r="D48" s="12"/>
      <c r="E48" s="12"/>
      <c r="F48" s="17">
        <f t="shared" si="3"/>
        <v>0</v>
      </c>
      <c r="G48" s="12"/>
      <c r="H48" s="12"/>
      <c r="I48" s="24">
        <f t="shared" si="1"/>
        <v>0</v>
      </c>
    </row>
    <row r="49" ht="22.2" customHeight="1" spans="1:9">
      <c r="A49" s="8" t="s">
        <v>1752</v>
      </c>
      <c r="B49" s="8" t="s">
        <v>1753</v>
      </c>
      <c r="C49" s="17">
        <f t="shared" si="2"/>
        <v>0</v>
      </c>
      <c r="D49" s="12"/>
      <c r="E49" s="12"/>
      <c r="F49" s="17">
        <f t="shared" si="3"/>
        <v>0</v>
      </c>
      <c r="G49" s="12"/>
      <c r="H49" s="12"/>
      <c r="I49" s="24">
        <f t="shared" si="1"/>
        <v>0</v>
      </c>
    </row>
    <row r="50" ht="22.2" customHeight="1" spans="1:9">
      <c r="A50" s="8" t="s">
        <v>1754</v>
      </c>
      <c r="B50" s="8" t="s">
        <v>1654</v>
      </c>
      <c r="C50" s="17">
        <f t="shared" si="2"/>
        <v>0</v>
      </c>
      <c r="D50" s="17">
        <f>SUM(D51:D53)</f>
        <v>0</v>
      </c>
      <c r="E50" s="17">
        <f t="shared" ref="E50:H50" si="6">SUM(E51:E53)</f>
        <v>0</v>
      </c>
      <c r="F50" s="17">
        <f t="shared" si="6"/>
        <v>0</v>
      </c>
      <c r="G50" s="17">
        <f t="shared" si="6"/>
        <v>0</v>
      </c>
      <c r="H50" s="17">
        <f t="shared" si="6"/>
        <v>0</v>
      </c>
      <c r="I50" s="24">
        <f t="shared" si="1"/>
        <v>0</v>
      </c>
    </row>
    <row r="51" ht="22.2" customHeight="1" spans="1:9">
      <c r="A51" s="8" t="s">
        <v>1755</v>
      </c>
      <c r="B51" s="8" t="s">
        <v>1756</v>
      </c>
      <c r="C51" s="17">
        <f t="shared" si="2"/>
        <v>0</v>
      </c>
      <c r="D51" s="12"/>
      <c r="E51" s="12"/>
      <c r="F51" s="17">
        <f t="shared" si="3"/>
        <v>0</v>
      </c>
      <c r="G51" s="12"/>
      <c r="H51" s="12"/>
      <c r="I51" s="24">
        <f t="shared" si="1"/>
        <v>0</v>
      </c>
    </row>
    <row r="52" ht="22.2" customHeight="1" spans="1:9">
      <c r="A52" s="8" t="s">
        <v>1757</v>
      </c>
      <c r="B52" s="8" t="s">
        <v>1758</v>
      </c>
      <c r="C52" s="17">
        <f t="shared" si="2"/>
        <v>0</v>
      </c>
      <c r="D52" s="12"/>
      <c r="E52" s="12"/>
      <c r="F52" s="17">
        <f t="shared" si="3"/>
        <v>0</v>
      </c>
      <c r="G52" s="12"/>
      <c r="H52" s="12"/>
      <c r="I52" s="24">
        <f t="shared" si="1"/>
        <v>0</v>
      </c>
    </row>
    <row r="53" ht="22.2" customHeight="1" spans="1:9">
      <c r="A53" s="8" t="s">
        <v>1759</v>
      </c>
      <c r="B53" s="8" t="s">
        <v>1760</v>
      </c>
      <c r="C53" s="17">
        <f t="shared" si="2"/>
        <v>0</v>
      </c>
      <c r="D53" s="12"/>
      <c r="E53" s="12"/>
      <c r="F53" s="17">
        <f t="shared" si="3"/>
        <v>0</v>
      </c>
      <c r="G53" s="12"/>
      <c r="H53" s="12"/>
      <c r="I53" s="24">
        <f t="shared" si="1"/>
        <v>0</v>
      </c>
    </row>
    <row r="54" ht="22.2" customHeight="1" spans="1:9">
      <c r="A54" s="8" t="s">
        <v>1761</v>
      </c>
      <c r="B54" s="8" t="s">
        <v>1657</v>
      </c>
      <c r="C54" s="17">
        <f t="shared" si="2"/>
        <v>0</v>
      </c>
      <c r="D54" s="12"/>
      <c r="E54" s="12"/>
      <c r="F54" s="17">
        <f t="shared" si="3"/>
        <v>0</v>
      </c>
      <c r="G54" s="12"/>
      <c r="H54" s="12"/>
      <c r="I54" s="24">
        <f t="shared" si="1"/>
        <v>0</v>
      </c>
    </row>
    <row r="55" ht="22.2" customHeight="1" spans="1:9">
      <c r="A55" s="18" t="s">
        <v>63</v>
      </c>
      <c r="B55" s="7"/>
      <c r="C55" s="17">
        <f>C7+C39+C44+C50+C54</f>
        <v>0</v>
      </c>
      <c r="D55" s="17">
        <f t="shared" ref="D55:H55" si="7">D7+D39+D44+D50+D54</f>
        <v>0</v>
      </c>
      <c r="E55" s="17">
        <f t="shared" si="7"/>
        <v>0</v>
      </c>
      <c r="F55" s="17">
        <f t="shared" si="7"/>
        <v>0</v>
      </c>
      <c r="G55" s="17">
        <f t="shared" si="7"/>
        <v>0</v>
      </c>
      <c r="H55" s="17">
        <f t="shared" si="7"/>
        <v>0</v>
      </c>
      <c r="I55" s="24">
        <f t="shared" si="1"/>
        <v>0</v>
      </c>
    </row>
    <row r="56" ht="22.2" customHeight="1" spans="1:9">
      <c r="A56" s="18" t="s">
        <v>1661</v>
      </c>
      <c r="B56" s="7" t="s">
        <v>1661</v>
      </c>
      <c r="C56" s="17">
        <f t="shared" ref="C56:C58" si="8">C8+C40+C45+C51+C55</f>
        <v>0</v>
      </c>
      <c r="D56" s="12"/>
      <c r="E56" s="12"/>
      <c r="F56" s="17">
        <f>SUM(G56:H56)</f>
        <v>0</v>
      </c>
      <c r="G56" s="12"/>
      <c r="H56" s="12"/>
      <c r="I56" s="22"/>
    </row>
    <row r="57" ht="22.2" customHeight="1" spans="1:9">
      <c r="A57" s="18" t="s">
        <v>1665</v>
      </c>
      <c r="B57" s="7"/>
      <c r="C57" s="17">
        <f t="shared" si="8"/>
        <v>0</v>
      </c>
      <c r="D57" s="12"/>
      <c r="E57" s="11"/>
      <c r="F57" s="17">
        <f t="shared" ref="F57:F58" si="9">SUM(G57:H57)</f>
        <v>0</v>
      </c>
      <c r="G57" s="12"/>
      <c r="H57" s="11"/>
      <c r="I57" s="22"/>
    </row>
    <row r="58" ht="22.2" customHeight="1" spans="1:9">
      <c r="A58" s="18" t="s">
        <v>1669</v>
      </c>
      <c r="B58" s="7"/>
      <c r="C58" s="17">
        <f t="shared" si="8"/>
        <v>0</v>
      </c>
      <c r="D58" s="12"/>
      <c r="E58" s="11"/>
      <c r="F58" s="17">
        <f t="shared" si="9"/>
        <v>0</v>
      </c>
      <c r="G58" s="12"/>
      <c r="H58" s="11"/>
      <c r="I58" s="22"/>
    </row>
    <row r="59" ht="22.2" customHeight="1" spans="1:9">
      <c r="A59" s="18" t="s">
        <v>1762</v>
      </c>
      <c r="B59" s="7"/>
      <c r="C59" s="11"/>
      <c r="D59" s="11"/>
      <c r="E59" s="11"/>
      <c r="F59" s="11"/>
      <c r="G59" s="11"/>
      <c r="H59" s="11"/>
      <c r="I59" s="11"/>
    </row>
    <row r="61" spans="2:5">
      <c r="B61" s="13" t="s">
        <v>1680</v>
      </c>
      <c r="C61" s="14" t="s">
        <v>1681</v>
      </c>
      <c r="D61" s="14"/>
      <c r="E61" s="14"/>
    </row>
  </sheetData>
  <mergeCells count="13">
    <mergeCell ref="A2:I2"/>
    <mergeCell ref="A3:I3"/>
    <mergeCell ref="C4:E4"/>
    <mergeCell ref="F4:H4"/>
    <mergeCell ref="A55:B55"/>
    <mergeCell ref="A56:B56"/>
    <mergeCell ref="A57:B57"/>
    <mergeCell ref="A58:B58"/>
    <mergeCell ref="A59:I59"/>
    <mergeCell ref="C61:E61"/>
    <mergeCell ref="A4:A5"/>
    <mergeCell ref="B4:B5"/>
    <mergeCell ref="I4:I5"/>
  </mergeCells>
  <printOptions horizontalCentered="1"/>
  <pageMargins left="0.393700787401575" right="0.393700787401575" top="0.590551181102362" bottom="0.62992125984252" header="0.393700787401575" footer="0.393700787401575"/>
  <pageSetup paperSize="9" scale="95" firstPageNumber="79" orientation="landscape" useFirstPageNumber="1" horizontalDpi="300" verticalDpi="300"/>
  <headerFooter alignWithMargins="0" scaleWithDoc="0" differentOddEven="1">
    <oddFooter>&amp;L&amp;16—&amp;P—</oddFooter>
    <evenFooter>&amp;R&amp;16—&amp;P—</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workbookViewId="0">
      <pane ySplit="7" topLeftCell="A33" activePane="bottomLeft" state="frozen"/>
      <selection/>
      <selection pane="bottomLeft" activeCell="B42" sqref="B42:E42"/>
    </sheetView>
  </sheetViews>
  <sheetFormatPr defaultColWidth="7.7" defaultRowHeight="13.5"/>
  <cols>
    <col min="1" max="1" width="8.7" style="2" customWidth="1"/>
    <col min="2" max="2" width="38.2" style="2" customWidth="1"/>
    <col min="3" max="3" width="14.2" style="2" customWidth="1"/>
    <col min="4" max="11" width="9.1" style="2" customWidth="1"/>
    <col min="12" max="12" width="14" style="2" customWidth="1"/>
    <col min="13" max="20" width="9.1" style="2" customWidth="1"/>
    <col min="21" max="21" width="10.7" style="2" customWidth="1"/>
    <col min="22" max="16384" width="7.7" style="2"/>
  </cols>
  <sheetData>
    <row r="1" ht="14.25" spans="1:1">
      <c r="A1" s="3" t="s">
        <v>1763</v>
      </c>
    </row>
    <row r="2" s="1" customFormat="1" ht="45" customHeight="1" spans="1:21">
      <c r="A2" s="15" t="s">
        <v>1764</v>
      </c>
      <c r="B2" s="15"/>
      <c r="C2" s="15"/>
      <c r="D2" s="15"/>
      <c r="E2" s="15"/>
      <c r="F2" s="15"/>
      <c r="G2" s="15"/>
      <c r="H2" s="15"/>
      <c r="I2" s="15"/>
      <c r="J2" s="15"/>
      <c r="K2" s="15"/>
      <c r="L2" s="15"/>
      <c r="M2" s="15"/>
      <c r="N2" s="15"/>
      <c r="O2" s="15"/>
      <c r="P2" s="15"/>
      <c r="Q2" s="15"/>
      <c r="R2" s="15"/>
      <c r="S2" s="15"/>
      <c r="T2" s="15"/>
      <c r="U2" s="15"/>
    </row>
    <row r="3" ht="21" customHeight="1" spans="1:21">
      <c r="A3" s="5" t="s">
        <v>26</v>
      </c>
      <c r="B3" s="5"/>
      <c r="C3" s="5"/>
      <c r="D3" s="5"/>
      <c r="E3" s="5"/>
      <c r="F3" s="5"/>
      <c r="G3" s="5"/>
      <c r="H3" s="5"/>
      <c r="I3" s="5"/>
      <c r="J3" s="5"/>
      <c r="K3" s="5"/>
      <c r="L3" s="5"/>
      <c r="M3" s="5"/>
      <c r="N3" s="5"/>
      <c r="O3" s="5"/>
      <c r="P3" s="5"/>
      <c r="Q3" s="5"/>
      <c r="R3" s="5"/>
      <c r="S3" s="5"/>
      <c r="T3" s="5"/>
      <c r="U3" s="5"/>
    </row>
    <row r="4" ht="22.2" customHeight="1" spans="1:21">
      <c r="A4" s="16" t="s">
        <v>1684</v>
      </c>
      <c r="B4" s="16" t="s">
        <v>1765</v>
      </c>
      <c r="C4" s="16" t="s">
        <v>1686</v>
      </c>
      <c r="D4" s="7"/>
      <c r="E4" s="7"/>
      <c r="F4" s="7"/>
      <c r="G4" s="7"/>
      <c r="H4" s="7"/>
      <c r="I4" s="7"/>
      <c r="J4" s="7"/>
      <c r="K4" s="7"/>
      <c r="L4" s="16" t="s">
        <v>1687</v>
      </c>
      <c r="M4" s="7"/>
      <c r="N4" s="7"/>
      <c r="O4" s="7"/>
      <c r="P4" s="7"/>
      <c r="Q4" s="7"/>
      <c r="R4" s="7"/>
      <c r="S4" s="7"/>
      <c r="T4" s="7"/>
      <c r="U4" s="16" t="s">
        <v>1688</v>
      </c>
    </row>
    <row r="5" ht="22.2" customHeight="1" spans="1:21">
      <c r="A5" s="7"/>
      <c r="B5" s="7"/>
      <c r="C5" s="16" t="s">
        <v>1132</v>
      </c>
      <c r="D5" s="16" t="s">
        <v>1174</v>
      </c>
      <c r="E5" s="7"/>
      <c r="F5" s="16" t="s">
        <v>1766</v>
      </c>
      <c r="G5" s="7"/>
      <c r="H5" s="16" t="s">
        <v>1767</v>
      </c>
      <c r="I5" s="7"/>
      <c r="J5" s="16" t="s">
        <v>1011</v>
      </c>
      <c r="K5" s="7"/>
      <c r="L5" s="16" t="s">
        <v>1132</v>
      </c>
      <c r="M5" s="16" t="s">
        <v>1174</v>
      </c>
      <c r="N5" s="7"/>
      <c r="O5" s="16" t="s">
        <v>1766</v>
      </c>
      <c r="P5" s="7"/>
      <c r="Q5" s="16" t="s">
        <v>1767</v>
      </c>
      <c r="R5" s="7"/>
      <c r="S5" s="16" t="s">
        <v>1011</v>
      </c>
      <c r="T5" s="7"/>
      <c r="U5" s="7"/>
    </row>
    <row r="6" ht="37.5" customHeight="1" spans="1:21">
      <c r="A6" s="7"/>
      <c r="B6" s="7"/>
      <c r="C6" s="7"/>
      <c r="D6" s="16" t="s">
        <v>1636</v>
      </c>
      <c r="E6" s="16" t="s">
        <v>1637</v>
      </c>
      <c r="F6" s="16" t="s">
        <v>1636</v>
      </c>
      <c r="G6" s="16" t="s">
        <v>1637</v>
      </c>
      <c r="H6" s="16" t="s">
        <v>1636</v>
      </c>
      <c r="I6" s="16" t="s">
        <v>1637</v>
      </c>
      <c r="J6" s="16" t="s">
        <v>1636</v>
      </c>
      <c r="K6" s="16" t="s">
        <v>1637</v>
      </c>
      <c r="L6" s="7"/>
      <c r="M6" s="16" t="s">
        <v>1636</v>
      </c>
      <c r="N6" s="16" t="s">
        <v>1637</v>
      </c>
      <c r="O6" s="16" t="s">
        <v>1636</v>
      </c>
      <c r="P6" s="16" t="s">
        <v>1637</v>
      </c>
      <c r="Q6" s="16" t="s">
        <v>1636</v>
      </c>
      <c r="R6" s="16" t="s">
        <v>1637</v>
      </c>
      <c r="S6" s="16" t="s">
        <v>1636</v>
      </c>
      <c r="T6" s="16" t="s">
        <v>1637</v>
      </c>
      <c r="U6" s="7"/>
    </row>
    <row r="7" ht="22.05" customHeight="1" spans="1:21">
      <c r="A7" s="6"/>
      <c r="B7" s="6" t="s">
        <v>1638</v>
      </c>
      <c r="C7" s="6" t="s">
        <v>1639</v>
      </c>
      <c r="D7" s="16" t="s">
        <v>1640</v>
      </c>
      <c r="E7" s="16" t="s">
        <v>1641</v>
      </c>
      <c r="F7" s="16" t="s">
        <v>1642</v>
      </c>
      <c r="G7" s="16" t="s">
        <v>1643</v>
      </c>
      <c r="H7" s="16" t="s">
        <v>1644</v>
      </c>
      <c r="I7" s="16" t="s">
        <v>1662</v>
      </c>
      <c r="J7" s="16" t="s">
        <v>1666</v>
      </c>
      <c r="K7" s="16" t="s">
        <v>1670</v>
      </c>
      <c r="L7" s="6" t="s">
        <v>1676</v>
      </c>
      <c r="M7" s="16" t="s">
        <v>1647</v>
      </c>
      <c r="N7" s="16" t="s">
        <v>1650</v>
      </c>
      <c r="O7" s="16" t="s">
        <v>1653</v>
      </c>
      <c r="P7" s="16" t="s">
        <v>1656</v>
      </c>
      <c r="Q7" s="16" t="s">
        <v>1660</v>
      </c>
      <c r="R7" s="16" t="s">
        <v>1664</v>
      </c>
      <c r="S7" s="16" t="s">
        <v>1668</v>
      </c>
      <c r="T7" s="16" t="s">
        <v>1672</v>
      </c>
      <c r="U7" s="6" t="s">
        <v>1674</v>
      </c>
    </row>
    <row r="8" ht="31.95" customHeight="1" spans="1:21">
      <c r="A8" s="8">
        <v>223</v>
      </c>
      <c r="B8" s="8" t="s">
        <v>1768</v>
      </c>
      <c r="C8" s="17">
        <f>SUM(D8:E8)</f>
        <v>0</v>
      </c>
      <c r="D8" s="17">
        <f>F8+H8+J8</f>
        <v>0</v>
      </c>
      <c r="E8" s="17">
        <f>G8+I8+K8</f>
        <v>0</v>
      </c>
      <c r="F8" s="17">
        <f>F9+F20+F30+F32</f>
        <v>0</v>
      </c>
      <c r="G8" s="17">
        <f t="shared" ref="G8:K8" si="0">G9+G20+G30+G32</f>
        <v>0</v>
      </c>
      <c r="H8" s="17">
        <f t="shared" si="0"/>
        <v>0</v>
      </c>
      <c r="I8" s="17">
        <f t="shared" si="0"/>
        <v>0</v>
      </c>
      <c r="J8" s="17">
        <f t="shared" si="0"/>
        <v>0</v>
      </c>
      <c r="K8" s="17">
        <f t="shared" si="0"/>
        <v>0</v>
      </c>
      <c r="L8" s="17">
        <f>SUM(M8:N8)</f>
        <v>0</v>
      </c>
      <c r="M8" s="17">
        <f>O8+Q8+S8</f>
        <v>0</v>
      </c>
      <c r="N8" s="17">
        <f>P8+R8+T8</f>
        <v>0</v>
      </c>
      <c r="O8" s="17">
        <f t="shared" ref="O8" si="1">O9+O20+O30+O32</f>
        <v>0</v>
      </c>
      <c r="P8" s="17">
        <f t="shared" ref="P8" si="2">P9+P20+P30+P32</f>
        <v>0</v>
      </c>
      <c r="Q8" s="17">
        <f t="shared" ref="Q8" si="3">Q9+Q20+Q30+Q32</f>
        <v>0</v>
      </c>
      <c r="R8" s="17">
        <f t="shared" ref="R8" si="4">R9+R20+R30+R32</f>
        <v>0</v>
      </c>
      <c r="S8" s="17">
        <f t="shared" ref="S8" si="5">S9+S20+S30+S32</f>
        <v>0</v>
      </c>
      <c r="T8" s="17">
        <f t="shared" ref="T8" si="6">T9+T20+T30+T32</f>
        <v>0</v>
      </c>
      <c r="U8" s="22">
        <f>IF(C8&gt;0,L8/C8*100,)</f>
        <v>0</v>
      </c>
    </row>
    <row r="9" ht="31.95" customHeight="1" spans="1:21">
      <c r="A9" s="8">
        <v>22301</v>
      </c>
      <c r="B9" s="8" t="s">
        <v>1769</v>
      </c>
      <c r="C9" s="17">
        <f t="shared" ref="C9:C38" si="7">SUM(D9:E9)</f>
        <v>0</v>
      </c>
      <c r="D9" s="17">
        <f t="shared" ref="D9:D38" si="8">F9+H9+J9</f>
        <v>0</v>
      </c>
      <c r="E9" s="17">
        <f t="shared" ref="E9:E38" si="9">G9+I9+K9</f>
        <v>0</v>
      </c>
      <c r="F9" s="17">
        <f>SUM(F10:F19)</f>
        <v>0</v>
      </c>
      <c r="G9" s="17">
        <f t="shared" ref="G9:K9" si="10">SUM(G10:G19)</f>
        <v>0</v>
      </c>
      <c r="H9" s="17">
        <f t="shared" si="10"/>
        <v>0</v>
      </c>
      <c r="I9" s="17">
        <f t="shared" si="10"/>
        <v>0</v>
      </c>
      <c r="J9" s="17">
        <f t="shared" si="10"/>
        <v>0</v>
      </c>
      <c r="K9" s="17">
        <f t="shared" si="10"/>
        <v>0</v>
      </c>
      <c r="L9" s="17">
        <f t="shared" ref="L9:L38" si="11">SUM(M9:N9)</f>
        <v>0</v>
      </c>
      <c r="M9" s="17">
        <f t="shared" ref="M9:M38" si="12">O9+Q9+S9</f>
        <v>0</v>
      </c>
      <c r="N9" s="17">
        <f t="shared" ref="N9:N38" si="13">P9+R9+T9</f>
        <v>0</v>
      </c>
      <c r="O9" s="17">
        <f t="shared" ref="O9" si="14">SUM(O10:O19)</f>
        <v>0</v>
      </c>
      <c r="P9" s="17">
        <f t="shared" ref="P9" si="15">SUM(P10:P19)</f>
        <v>0</v>
      </c>
      <c r="Q9" s="17">
        <f t="shared" ref="Q9" si="16">SUM(Q10:Q19)</f>
        <v>0</v>
      </c>
      <c r="R9" s="17">
        <f t="shared" ref="R9" si="17">SUM(R10:R19)</f>
        <v>0</v>
      </c>
      <c r="S9" s="17">
        <f t="shared" ref="S9" si="18">SUM(S10:S19)</f>
        <v>0</v>
      </c>
      <c r="T9" s="17">
        <f t="shared" ref="T9" si="19">SUM(T10:T19)</f>
        <v>0</v>
      </c>
      <c r="U9" s="22">
        <f t="shared" ref="U9:U38" si="20">IF(C9&gt;0,L9/C9*100,)</f>
        <v>0</v>
      </c>
    </row>
    <row r="10" ht="31.95" customHeight="1" spans="1:21">
      <c r="A10" s="8">
        <v>2230101</v>
      </c>
      <c r="B10" s="8" t="s">
        <v>1770</v>
      </c>
      <c r="C10" s="17">
        <f t="shared" si="7"/>
        <v>0</v>
      </c>
      <c r="D10" s="17">
        <f t="shared" si="8"/>
        <v>0</v>
      </c>
      <c r="E10" s="17">
        <f t="shared" si="9"/>
        <v>0</v>
      </c>
      <c r="F10" s="12"/>
      <c r="G10" s="12"/>
      <c r="H10" s="12"/>
      <c r="I10" s="12"/>
      <c r="J10" s="12"/>
      <c r="K10" s="12"/>
      <c r="L10" s="17">
        <f t="shared" si="11"/>
        <v>0</v>
      </c>
      <c r="M10" s="17">
        <f t="shared" si="12"/>
        <v>0</v>
      </c>
      <c r="N10" s="17">
        <f t="shared" si="13"/>
        <v>0</v>
      </c>
      <c r="O10" s="12"/>
      <c r="P10" s="12"/>
      <c r="Q10" s="12"/>
      <c r="R10" s="12"/>
      <c r="S10" s="12"/>
      <c r="T10" s="12"/>
      <c r="U10" s="22">
        <f t="shared" si="20"/>
        <v>0</v>
      </c>
    </row>
    <row r="11" ht="31.95" customHeight="1" spans="1:21">
      <c r="A11" s="8" t="s">
        <v>1771</v>
      </c>
      <c r="B11" s="8" t="s">
        <v>1772</v>
      </c>
      <c r="C11" s="17">
        <f t="shared" si="7"/>
        <v>0</v>
      </c>
      <c r="D11" s="17">
        <f t="shared" si="8"/>
        <v>0</v>
      </c>
      <c r="E11" s="17">
        <f t="shared" si="9"/>
        <v>0</v>
      </c>
      <c r="F11" s="12"/>
      <c r="G11" s="12"/>
      <c r="H11" s="12"/>
      <c r="I11" s="12"/>
      <c r="J11" s="12"/>
      <c r="K11" s="12"/>
      <c r="L11" s="17">
        <f t="shared" si="11"/>
        <v>0</v>
      </c>
      <c r="M11" s="17">
        <f t="shared" si="12"/>
        <v>0</v>
      </c>
      <c r="N11" s="17">
        <f t="shared" si="13"/>
        <v>0</v>
      </c>
      <c r="O11" s="12"/>
      <c r="P11" s="12"/>
      <c r="Q11" s="12"/>
      <c r="R11" s="12"/>
      <c r="S11" s="12"/>
      <c r="T11" s="12"/>
      <c r="U11" s="22">
        <f t="shared" si="20"/>
        <v>0</v>
      </c>
    </row>
    <row r="12" ht="31.95" customHeight="1" spans="1:21">
      <c r="A12" s="8" t="s">
        <v>1773</v>
      </c>
      <c r="B12" s="8" t="s">
        <v>1774</v>
      </c>
      <c r="C12" s="17">
        <f t="shared" si="7"/>
        <v>0</v>
      </c>
      <c r="D12" s="17">
        <f t="shared" si="8"/>
        <v>0</v>
      </c>
      <c r="E12" s="17">
        <f t="shared" si="9"/>
        <v>0</v>
      </c>
      <c r="F12" s="12"/>
      <c r="G12" s="12"/>
      <c r="H12" s="12"/>
      <c r="I12" s="12"/>
      <c r="J12" s="12"/>
      <c r="K12" s="12"/>
      <c r="L12" s="17">
        <f t="shared" si="11"/>
        <v>0</v>
      </c>
      <c r="M12" s="17">
        <f t="shared" si="12"/>
        <v>0</v>
      </c>
      <c r="N12" s="17">
        <f t="shared" si="13"/>
        <v>0</v>
      </c>
      <c r="O12" s="12"/>
      <c r="P12" s="12"/>
      <c r="Q12" s="12"/>
      <c r="R12" s="12"/>
      <c r="S12" s="12"/>
      <c r="T12" s="12"/>
      <c r="U12" s="22">
        <f t="shared" si="20"/>
        <v>0</v>
      </c>
    </row>
    <row r="13" ht="31.95" customHeight="1" spans="1:21">
      <c r="A13" s="8">
        <v>2230104</v>
      </c>
      <c r="B13" s="8" t="s">
        <v>1775</v>
      </c>
      <c r="C13" s="17">
        <f t="shared" si="7"/>
        <v>0</v>
      </c>
      <c r="D13" s="17">
        <f t="shared" si="8"/>
        <v>0</v>
      </c>
      <c r="E13" s="17">
        <f t="shared" si="9"/>
        <v>0</v>
      </c>
      <c r="F13" s="12"/>
      <c r="G13" s="12"/>
      <c r="H13" s="12"/>
      <c r="I13" s="12"/>
      <c r="J13" s="12"/>
      <c r="K13" s="12"/>
      <c r="L13" s="17">
        <f t="shared" si="11"/>
        <v>0</v>
      </c>
      <c r="M13" s="17">
        <f t="shared" si="12"/>
        <v>0</v>
      </c>
      <c r="N13" s="17">
        <f t="shared" si="13"/>
        <v>0</v>
      </c>
      <c r="O13" s="12"/>
      <c r="P13" s="12"/>
      <c r="Q13" s="12"/>
      <c r="R13" s="12"/>
      <c r="S13" s="12"/>
      <c r="T13" s="12"/>
      <c r="U13" s="22">
        <f t="shared" si="20"/>
        <v>0</v>
      </c>
    </row>
    <row r="14" ht="31.95" customHeight="1" spans="1:21">
      <c r="A14" s="8" t="s">
        <v>1776</v>
      </c>
      <c r="B14" s="8" t="s">
        <v>1777</v>
      </c>
      <c r="C14" s="17">
        <f t="shared" si="7"/>
        <v>0</v>
      </c>
      <c r="D14" s="17">
        <f t="shared" si="8"/>
        <v>0</v>
      </c>
      <c r="E14" s="17">
        <f t="shared" si="9"/>
        <v>0</v>
      </c>
      <c r="F14" s="12"/>
      <c r="G14" s="12"/>
      <c r="H14" s="12"/>
      <c r="I14" s="12"/>
      <c r="J14" s="12"/>
      <c r="K14" s="12"/>
      <c r="L14" s="17">
        <f t="shared" si="11"/>
        <v>0</v>
      </c>
      <c r="M14" s="17">
        <f t="shared" si="12"/>
        <v>0</v>
      </c>
      <c r="N14" s="17">
        <f t="shared" si="13"/>
        <v>0</v>
      </c>
      <c r="O14" s="12"/>
      <c r="P14" s="12"/>
      <c r="Q14" s="12"/>
      <c r="R14" s="12"/>
      <c r="S14" s="12"/>
      <c r="T14" s="12"/>
      <c r="U14" s="22">
        <f t="shared" si="20"/>
        <v>0</v>
      </c>
    </row>
    <row r="15" ht="31.95" customHeight="1" spans="1:21">
      <c r="A15" s="8">
        <v>2230106</v>
      </c>
      <c r="B15" s="8" t="s">
        <v>1778</v>
      </c>
      <c r="C15" s="17">
        <f t="shared" si="7"/>
        <v>0</v>
      </c>
      <c r="D15" s="17">
        <f t="shared" si="8"/>
        <v>0</v>
      </c>
      <c r="E15" s="17">
        <f t="shared" si="9"/>
        <v>0</v>
      </c>
      <c r="F15" s="12"/>
      <c r="G15" s="12"/>
      <c r="H15" s="12"/>
      <c r="I15" s="12"/>
      <c r="J15" s="12"/>
      <c r="K15" s="12"/>
      <c r="L15" s="17">
        <f t="shared" si="11"/>
        <v>0</v>
      </c>
      <c r="M15" s="17">
        <f t="shared" si="12"/>
        <v>0</v>
      </c>
      <c r="N15" s="17">
        <f t="shared" si="13"/>
        <v>0</v>
      </c>
      <c r="O15" s="12"/>
      <c r="P15" s="12"/>
      <c r="Q15" s="12"/>
      <c r="R15" s="12"/>
      <c r="S15" s="12"/>
      <c r="T15" s="12"/>
      <c r="U15" s="22">
        <f t="shared" si="20"/>
        <v>0</v>
      </c>
    </row>
    <row r="16" ht="31.95" customHeight="1" spans="1:21">
      <c r="A16" s="8" t="s">
        <v>1779</v>
      </c>
      <c r="B16" s="8" t="s">
        <v>1780</v>
      </c>
      <c r="C16" s="17">
        <f t="shared" si="7"/>
        <v>0</v>
      </c>
      <c r="D16" s="17">
        <f t="shared" si="8"/>
        <v>0</v>
      </c>
      <c r="E16" s="17">
        <f t="shared" si="9"/>
        <v>0</v>
      </c>
      <c r="F16" s="12"/>
      <c r="G16" s="12"/>
      <c r="H16" s="12"/>
      <c r="I16" s="12"/>
      <c r="J16" s="12"/>
      <c r="K16" s="12"/>
      <c r="L16" s="17">
        <f t="shared" si="11"/>
        <v>0</v>
      </c>
      <c r="M16" s="17">
        <f t="shared" si="12"/>
        <v>0</v>
      </c>
      <c r="N16" s="17">
        <f t="shared" si="13"/>
        <v>0</v>
      </c>
      <c r="O16" s="12"/>
      <c r="P16" s="12"/>
      <c r="Q16" s="12"/>
      <c r="R16" s="12"/>
      <c r="S16" s="12"/>
      <c r="T16" s="12"/>
      <c r="U16" s="22">
        <f t="shared" si="20"/>
        <v>0</v>
      </c>
    </row>
    <row r="17" ht="31.95" customHeight="1" spans="1:21">
      <c r="A17" s="8">
        <v>2230108</v>
      </c>
      <c r="B17" s="8" t="s">
        <v>1781</v>
      </c>
      <c r="C17" s="17">
        <f t="shared" si="7"/>
        <v>0</v>
      </c>
      <c r="D17" s="17">
        <f t="shared" si="8"/>
        <v>0</v>
      </c>
      <c r="E17" s="17">
        <f t="shared" si="9"/>
        <v>0</v>
      </c>
      <c r="F17" s="12"/>
      <c r="G17" s="12"/>
      <c r="H17" s="12"/>
      <c r="I17" s="12"/>
      <c r="J17" s="12"/>
      <c r="K17" s="12"/>
      <c r="L17" s="17">
        <f t="shared" si="11"/>
        <v>0</v>
      </c>
      <c r="M17" s="17">
        <f t="shared" si="12"/>
        <v>0</v>
      </c>
      <c r="N17" s="17">
        <f t="shared" si="13"/>
        <v>0</v>
      </c>
      <c r="O17" s="12"/>
      <c r="P17" s="12"/>
      <c r="Q17" s="12"/>
      <c r="R17" s="12"/>
      <c r="S17" s="12"/>
      <c r="T17" s="12"/>
      <c r="U17" s="22">
        <f t="shared" si="20"/>
        <v>0</v>
      </c>
    </row>
    <row r="18" ht="31.95" customHeight="1" spans="1:21">
      <c r="A18" s="8">
        <v>2230109</v>
      </c>
      <c r="B18" s="8" t="s">
        <v>1782</v>
      </c>
      <c r="C18" s="17">
        <f t="shared" si="7"/>
        <v>0</v>
      </c>
      <c r="D18" s="17">
        <f t="shared" si="8"/>
        <v>0</v>
      </c>
      <c r="E18" s="17">
        <f t="shared" si="9"/>
        <v>0</v>
      </c>
      <c r="F18" s="12"/>
      <c r="G18" s="12"/>
      <c r="H18" s="12"/>
      <c r="I18" s="12"/>
      <c r="J18" s="12"/>
      <c r="K18" s="12"/>
      <c r="L18" s="17">
        <f t="shared" si="11"/>
        <v>0</v>
      </c>
      <c r="M18" s="17">
        <f t="shared" si="12"/>
        <v>0</v>
      </c>
      <c r="N18" s="17">
        <f t="shared" si="13"/>
        <v>0</v>
      </c>
      <c r="O18" s="12"/>
      <c r="P18" s="12"/>
      <c r="Q18" s="12"/>
      <c r="R18" s="12"/>
      <c r="S18" s="12"/>
      <c r="T18" s="12"/>
      <c r="U18" s="22">
        <f t="shared" si="20"/>
        <v>0</v>
      </c>
    </row>
    <row r="19" ht="31.95" customHeight="1" spans="1:21">
      <c r="A19" s="8" t="s">
        <v>1783</v>
      </c>
      <c r="B19" s="8" t="s">
        <v>1784</v>
      </c>
      <c r="C19" s="17">
        <f t="shared" si="7"/>
        <v>0</v>
      </c>
      <c r="D19" s="17">
        <f t="shared" si="8"/>
        <v>0</v>
      </c>
      <c r="E19" s="17">
        <f t="shared" si="9"/>
        <v>0</v>
      </c>
      <c r="F19" s="12"/>
      <c r="G19" s="12"/>
      <c r="H19" s="12"/>
      <c r="I19" s="12"/>
      <c r="J19" s="12"/>
      <c r="K19" s="12"/>
      <c r="L19" s="17">
        <f t="shared" si="11"/>
        <v>0</v>
      </c>
      <c r="M19" s="17">
        <f t="shared" si="12"/>
        <v>0</v>
      </c>
      <c r="N19" s="17">
        <f t="shared" si="13"/>
        <v>0</v>
      </c>
      <c r="O19" s="12"/>
      <c r="P19" s="12"/>
      <c r="Q19" s="12"/>
      <c r="R19" s="12"/>
      <c r="S19" s="12"/>
      <c r="T19" s="12"/>
      <c r="U19" s="22">
        <f t="shared" si="20"/>
        <v>0</v>
      </c>
    </row>
    <row r="20" ht="31.95" customHeight="1" spans="1:21">
      <c r="A20" s="8">
        <v>22302</v>
      </c>
      <c r="B20" s="8" t="s">
        <v>1785</v>
      </c>
      <c r="C20" s="17">
        <f t="shared" si="7"/>
        <v>0</v>
      </c>
      <c r="D20" s="17">
        <f t="shared" si="8"/>
        <v>0</v>
      </c>
      <c r="E20" s="17">
        <f t="shared" si="9"/>
        <v>0</v>
      </c>
      <c r="F20" s="17">
        <f>SUM(F21:F29)</f>
        <v>0</v>
      </c>
      <c r="G20" s="17">
        <f t="shared" ref="G20:K20" si="21">SUM(G21:G29)</f>
        <v>0</v>
      </c>
      <c r="H20" s="17">
        <f t="shared" si="21"/>
        <v>0</v>
      </c>
      <c r="I20" s="17">
        <f t="shared" si="21"/>
        <v>0</v>
      </c>
      <c r="J20" s="17">
        <f t="shared" si="21"/>
        <v>0</v>
      </c>
      <c r="K20" s="17">
        <f t="shared" si="21"/>
        <v>0</v>
      </c>
      <c r="L20" s="17">
        <f t="shared" si="11"/>
        <v>0</v>
      </c>
      <c r="M20" s="17">
        <f t="shared" si="12"/>
        <v>0</v>
      </c>
      <c r="N20" s="17">
        <f t="shared" si="13"/>
        <v>0</v>
      </c>
      <c r="O20" s="17">
        <f t="shared" ref="O20" si="22">SUM(O21:O29)</f>
        <v>0</v>
      </c>
      <c r="P20" s="17">
        <f t="shared" ref="P20" si="23">SUM(P21:P29)</f>
        <v>0</v>
      </c>
      <c r="Q20" s="17">
        <f t="shared" ref="Q20" si="24">SUM(Q21:Q29)</f>
        <v>0</v>
      </c>
      <c r="R20" s="17">
        <f t="shared" ref="R20" si="25">SUM(R21:R29)</f>
        <v>0</v>
      </c>
      <c r="S20" s="17">
        <f t="shared" ref="S20" si="26">SUM(S21:S29)</f>
        <v>0</v>
      </c>
      <c r="T20" s="17">
        <f t="shared" ref="T20" si="27">SUM(T21:T29)</f>
        <v>0</v>
      </c>
      <c r="U20" s="22">
        <f t="shared" si="20"/>
        <v>0</v>
      </c>
    </row>
    <row r="21" ht="31.95" customHeight="1" spans="1:21">
      <c r="A21" s="8" t="s">
        <v>1786</v>
      </c>
      <c r="B21" s="8" t="s">
        <v>1787</v>
      </c>
      <c r="C21" s="17">
        <f t="shared" si="7"/>
        <v>0</v>
      </c>
      <c r="D21" s="17">
        <f t="shared" si="8"/>
        <v>0</v>
      </c>
      <c r="E21" s="17">
        <f t="shared" si="9"/>
        <v>0</v>
      </c>
      <c r="F21" s="12"/>
      <c r="G21" s="12"/>
      <c r="H21" s="12"/>
      <c r="I21" s="12"/>
      <c r="J21" s="12"/>
      <c r="K21" s="12"/>
      <c r="L21" s="17">
        <f t="shared" si="11"/>
        <v>0</v>
      </c>
      <c r="M21" s="17">
        <f t="shared" si="12"/>
        <v>0</v>
      </c>
      <c r="N21" s="17">
        <f t="shared" si="13"/>
        <v>0</v>
      </c>
      <c r="O21" s="12"/>
      <c r="P21" s="12"/>
      <c r="Q21" s="12"/>
      <c r="R21" s="12"/>
      <c r="S21" s="12"/>
      <c r="T21" s="12"/>
      <c r="U21" s="22">
        <f t="shared" si="20"/>
        <v>0</v>
      </c>
    </row>
    <row r="22" ht="31.95" customHeight="1" spans="1:21">
      <c r="A22" s="8" t="s">
        <v>1788</v>
      </c>
      <c r="B22" s="8" t="s">
        <v>1789</v>
      </c>
      <c r="C22" s="17">
        <f t="shared" si="7"/>
        <v>0</v>
      </c>
      <c r="D22" s="17">
        <f t="shared" si="8"/>
        <v>0</v>
      </c>
      <c r="E22" s="17">
        <f t="shared" si="9"/>
        <v>0</v>
      </c>
      <c r="F22" s="12"/>
      <c r="G22" s="12"/>
      <c r="H22" s="12"/>
      <c r="I22" s="12"/>
      <c r="J22" s="12"/>
      <c r="K22" s="12"/>
      <c r="L22" s="17">
        <f t="shared" si="11"/>
        <v>0</v>
      </c>
      <c r="M22" s="17">
        <f t="shared" si="12"/>
        <v>0</v>
      </c>
      <c r="N22" s="17">
        <f t="shared" si="13"/>
        <v>0</v>
      </c>
      <c r="O22" s="12"/>
      <c r="P22" s="12"/>
      <c r="Q22" s="12"/>
      <c r="R22" s="12"/>
      <c r="S22" s="12"/>
      <c r="T22" s="12"/>
      <c r="U22" s="22">
        <f t="shared" si="20"/>
        <v>0</v>
      </c>
    </row>
    <row r="23" ht="31.95" customHeight="1" spans="1:21">
      <c r="A23" s="8">
        <v>2230203</v>
      </c>
      <c r="B23" s="8" t="s">
        <v>1790</v>
      </c>
      <c r="C23" s="17">
        <f t="shared" si="7"/>
        <v>0</v>
      </c>
      <c r="D23" s="17">
        <f t="shared" si="8"/>
        <v>0</v>
      </c>
      <c r="E23" s="17">
        <f t="shared" si="9"/>
        <v>0</v>
      </c>
      <c r="F23" s="12"/>
      <c r="G23" s="12"/>
      <c r="H23" s="12"/>
      <c r="I23" s="12"/>
      <c r="J23" s="12"/>
      <c r="K23" s="12"/>
      <c r="L23" s="17">
        <f t="shared" si="11"/>
        <v>0</v>
      </c>
      <c r="M23" s="17">
        <f t="shared" si="12"/>
        <v>0</v>
      </c>
      <c r="N23" s="17">
        <f t="shared" si="13"/>
        <v>0</v>
      </c>
      <c r="O23" s="12"/>
      <c r="P23" s="12"/>
      <c r="Q23" s="12"/>
      <c r="R23" s="12"/>
      <c r="S23" s="12"/>
      <c r="T23" s="12"/>
      <c r="U23" s="22">
        <f t="shared" si="20"/>
        <v>0</v>
      </c>
    </row>
    <row r="24" ht="31.95" customHeight="1" spans="1:21">
      <c r="A24" s="8" t="s">
        <v>1791</v>
      </c>
      <c r="B24" s="8" t="s">
        <v>1792</v>
      </c>
      <c r="C24" s="17">
        <f t="shared" si="7"/>
        <v>0</v>
      </c>
      <c r="D24" s="17">
        <f t="shared" si="8"/>
        <v>0</v>
      </c>
      <c r="E24" s="17">
        <f t="shared" si="9"/>
        <v>0</v>
      </c>
      <c r="F24" s="12"/>
      <c r="G24" s="12"/>
      <c r="H24" s="12"/>
      <c r="I24" s="12"/>
      <c r="J24" s="12"/>
      <c r="K24" s="12"/>
      <c r="L24" s="17">
        <f t="shared" si="11"/>
        <v>0</v>
      </c>
      <c r="M24" s="17">
        <f t="shared" si="12"/>
        <v>0</v>
      </c>
      <c r="N24" s="17">
        <f t="shared" si="13"/>
        <v>0</v>
      </c>
      <c r="O24" s="12"/>
      <c r="P24" s="12"/>
      <c r="Q24" s="12"/>
      <c r="R24" s="12"/>
      <c r="S24" s="12"/>
      <c r="T24" s="12"/>
      <c r="U24" s="22">
        <f t="shared" si="20"/>
        <v>0</v>
      </c>
    </row>
    <row r="25" ht="31.95" customHeight="1" spans="1:21">
      <c r="A25" s="8">
        <v>2230205</v>
      </c>
      <c r="B25" s="8" t="s">
        <v>1793</v>
      </c>
      <c r="C25" s="17">
        <f t="shared" si="7"/>
        <v>0</v>
      </c>
      <c r="D25" s="17">
        <f t="shared" si="8"/>
        <v>0</v>
      </c>
      <c r="E25" s="17">
        <f t="shared" si="9"/>
        <v>0</v>
      </c>
      <c r="F25" s="12"/>
      <c r="G25" s="12"/>
      <c r="H25" s="12"/>
      <c r="I25" s="12"/>
      <c r="J25" s="12"/>
      <c r="K25" s="12"/>
      <c r="L25" s="17">
        <f t="shared" si="11"/>
        <v>0</v>
      </c>
      <c r="M25" s="17">
        <f t="shared" si="12"/>
        <v>0</v>
      </c>
      <c r="N25" s="17">
        <f t="shared" si="13"/>
        <v>0</v>
      </c>
      <c r="O25" s="12"/>
      <c r="P25" s="12"/>
      <c r="Q25" s="12"/>
      <c r="R25" s="12"/>
      <c r="S25" s="12"/>
      <c r="T25" s="12"/>
      <c r="U25" s="22">
        <f t="shared" si="20"/>
        <v>0</v>
      </c>
    </row>
    <row r="26" ht="31.95" customHeight="1" spans="1:21">
      <c r="A26" s="8">
        <v>2230206</v>
      </c>
      <c r="B26" s="8" t="s">
        <v>1794</v>
      </c>
      <c r="C26" s="17">
        <f t="shared" si="7"/>
        <v>0</v>
      </c>
      <c r="D26" s="17">
        <f t="shared" si="8"/>
        <v>0</v>
      </c>
      <c r="E26" s="17">
        <f t="shared" si="9"/>
        <v>0</v>
      </c>
      <c r="F26" s="12"/>
      <c r="G26" s="12"/>
      <c r="H26" s="12"/>
      <c r="I26" s="12"/>
      <c r="J26" s="12"/>
      <c r="K26" s="12"/>
      <c r="L26" s="17">
        <f t="shared" si="11"/>
        <v>0</v>
      </c>
      <c r="M26" s="17">
        <f t="shared" si="12"/>
        <v>0</v>
      </c>
      <c r="N26" s="17">
        <f t="shared" si="13"/>
        <v>0</v>
      </c>
      <c r="O26" s="12"/>
      <c r="P26" s="12"/>
      <c r="Q26" s="12"/>
      <c r="R26" s="12"/>
      <c r="S26" s="12"/>
      <c r="T26" s="12"/>
      <c r="U26" s="22">
        <f t="shared" si="20"/>
        <v>0</v>
      </c>
    </row>
    <row r="27" ht="31.95" customHeight="1" spans="1:21">
      <c r="A27" s="8">
        <v>2230207</v>
      </c>
      <c r="B27" s="8" t="s">
        <v>1795</v>
      </c>
      <c r="C27" s="17">
        <f t="shared" si="7"/>
        <v>0</v>
      </c>
      <c r="D27" s="17">
        <f t="shared" si="8"/>
        <v>0</v>
      </c>
      <c r="E27" s="17">
        <f t="shared" si="9"/>
        <v>0</v>
      </c>
      <c r="F27" s="12"/>
      <c r="G27" s="12"/>
      <c r="H27" s="12"/>
      <c r="I27" s="12"/>
      <c r="J27" s="12"/>
      <c r="K27" s="12"/>
      <c r="L27" s="17">
        <f t="shared" si="11"/>
        <v>0</v>
      </c>
      <c r="M27" s="17">
        <f t="shared" si="12"/>
        <v>0</v>
      </c>
      <c r="N27" s="17">
        <f t="shared" si="13"/>
        <v>0</v>
      </c>
      <c r="O27" s="12"/>
      <c r="P27" s="12"/>
      <c r="Q27" s="12"/>
      <c r="R27" s="12"/>
      <c r="S27" s="12"/>
      <c r="T27" s="12"/>
      <c r="U27" s="22">
        <f t="shared" si="20"/>
        <v>0</v>
      </c>
    </row>
    <row r="28" ht="31.95" customHeight="1" spans="1:21">
      <c r="A28" s="8">
        <v>2230208</v>
      </c>
      <c r="B28" s="8" t="s">
        <v>1796</v>
      </c>
      <c r="C28" s="17">
        <f t="shared" si="7"/>
        <v>0</v>
      </c>
      <c r="D28" s="17">
        <f t="shared" si="8"/>
        <v>0</v>
      </c>
      <c r="E28" s="17">
        <f t="shared" si="9"/>
        <v>0</v>
      </c>
      <c r="F28" s="12"/>
      <c r="G28" s="12"/>
      <c r="H28" s="12"/>
      <c r="I28" s="12"/>
      <c r="J28" s="12"/>
      <c r="K28" s="12"/>
      <c r="L28" s="17">
        <f t="shared" si="11"/>
        <v>0</v>
      </c>
      <c r="M28" s="17">
        <f t="shared" si="12"/>
        <v>0</v>
      </c>
      <c r="N28" s="17">
        <f t="shared" si="13"/>
        <v>0</v>
      </c>
      <c r="O28" s="12"/>
      <c r="P28" s="12"/>
      <c r="Q28" s="12"/>
      <c r="R28" s="12"/>
      <c r="S28" s="12"/>
      <c r="T28" s="12"/>
      <c r="U28" s="22">
        <f t="shared" si="20"/>
        <v>0</v>
      </c>
    </row>
    <row r="29" ht="31.95" customHeight="1" spans="1:21">
      <c r="A29" s="8" t="s">
        <v>1797</v>
      </c>
      <c r="B29" s="8" t="s">
        <v>1798</v>
      </c>
      <c r="C29" s="17">
        <f t="shared" si="7"/>
        <v>0</v>
      </c>
      <c r="D29" s="17">
        <f t="shared" si="8"/>
        <v>0</v>
      </c>
      <c r="E29" s="17">
        <f t="shared" si="9"/>
        <v>0</v>
      </c>
      <c r="F29" s="12"/>
      <c r="G29" s="12"/>
      <c r="H29" s="12"/>
      <c r="I29" s="12"/>
      <c r="J29" s="12"/>
      <c r="K29" s="12"/>
      <c r="L29" s="17">
        <f t="shared" si="11"/>
        <v>0</v>
      </c>
      <c r="M29" s="17">
        <f t="shared" si="12"/>
        <v>0</v>
      </c>
      <c r="N29" s="17">
        <f t="shared" si="13"/>
        <v>0</v>
      </c>
      <c r="O29" s="12"/>
      <c r="P29" s="12"/>
      <c r="Q29" s="12"/>
      <c r="R29" s="12"/>
      <c r="S29" s="12"/>
      <c r="T29" s="12"/>
      <c r="U29" s="22">
        <f t="shared" si="20"/>
        <v>0</v>
      </c>
    </row>
    <row r="30" ht="31.95" customHeight="1" spans="1:21">
      <c r="A30" s="8">
        <v>22303</v>
      </c>
      <c r="B30" s="8" t="s">
        <v>1799</v>
      </c>
      <c r="C30" s="17">
        <f t="shared" si="7"/>
        <v>0</v>
      </c>
      <c r="D30" s="17">
        <f t="shared" si="8"/>
        <v>0</v>
      </c>
      <c r="E30" s="17">
        <f t="shared" si="9"/>
        <v>0</v>
      </c>
      <c r="F30" s="17">
        <f>F31</f>
        <v>0</v>
      </c>
      <c r="G30" s="17">
        <f t="shared" ref="G30:K30" si="28">G31</f>
        <v>0</v>
      </c>
      <c r="H30" s="17">
        <f t="shared" si="28"/>
        <v>0</v>
      </c>
      <c r="I30" s="17">
        <f t="shared" si="28"/>
        <v>0</v>
      </c>
      <c r="J30" s="17">
        <f t="shared" si="28"/>
        <v>0</v>
      </c>
      <c r="K30" s="17">
        <f t="shared" si="28"/>
        <v>0</v>
      </c>
      <c r="L30" s="17">
        <f t="shared" si="11"/>
        <v>0</v>
      </c>
      <c r="M30" s="17">
        <f t="shared" si="12"/>
        <v>0</v>
      </c>
      <c r="N30" s="17">
        <f t="shared" si="13"/>
        <v>0</v>
      </c>
      <c r="O30" s="17">
        <f t="shared" ref="O30" si="29">O31</f>
        <v>0</v>
      </c>
      <c r="P30" s="17">
        <f t="shared" ref="P30" si="30">P31</f>
        <v>0</v>
      </c>
      <c r="Q30" s="17">
        <f t="shared" ref="Q30" si="31">Q31</f>
        <v>0</v>
      </c>
      <c r="R30" s="17">
        <f t="shared" ref="R30" si="32">R31</f>
        <v>0</v>
      </c>
      <c r="S30" s="17">
        <f t="shared" ref="S30" si="33">S31</f>
        <v>0</v>
      </c>
      <c r="T30" s="17">
        <f t="shared" ref="T30" si="34">T31</f>
        <v>0</v>
      </c>
      <c r="U30" s="22">
        <f t="shared" si="20"/>
        <v>0</v>
      </c>
    </row>
    <row r="31" ht="31.95" customHeight="1" spans="1:21">
      <c r="A31" s="8" t="s">
        <v>1800</v>
      </c>
      <c r="B31" s="8" t="s">
        <v>1801</v>
      </c>
      <c r="C31" s="17">
        <f t="shared" si="7"/>
        <v>0</v>
      </c>
      <c r="D31" s="17">
        <f t="shared" si="8"/>
        <v>0</v>
      </c>
      <c r="E31" s="17">
        <f t="shared" si="9"/>
        <v>0</v>
      </c>
      <c r="F31" s="12"/>
      <c r="G31" s="12"/>
      <c r="H31" s="12"/>
      <c r="I31" s="12"/>
      <c r="J31" s="12"/>
      <c r="K31" s="12"/>
      <c r="L31" s="17">
        <f t="shared" si="11"/>
        <v>0</v>
      </c>
      <c r="M31" s="17">
        <f t="shared" si="12"/>
        <v>0</v>
      </c>
      <c r="N31" s="17">
        <f t="shared" si="13"/>
        <v>0</v>
      </c>
      <c r="O31" s="12"/>
      <c r="P31" s="12"/>
      <c r="Q31" s="12"/>
      <c r="R31" s="12"/>
      <c r="S31" s="12"/>
      <c r="T31" s="12"/>
      <c r="U31" s="22">
        <f t="shared" si="20"/>
        <v>0</v>
      </c>
    </row>
    <row r="32" ht="31.95" customHeight="1" spans="1:21">
      <c r="A32" s="8">
        <v>22399</v>
      </c>
      <c r="B32" s="8" t="s">
        <v>1802</v>
      </c>
      <c r="C32" s="17">
        <f t="shared" si="7"/>
        <v>0</v>
      </c>
      <c r="D32" s="17">
        <f t="shared" si="8"/>
        <v>0</v>
      </c>
      <c r="E32" s="17">
        <f t="shared" si="9"/>
        <v>0</v>
      </c>
      <c r="F32" s="17">
        <f>F33</f>
        <v>0</v>
      </c>
      <c r="G32" s="17">
        <f t="shared" ref="G32:K32" si="35">G33</f>
        <v>0</v>
      </c>
      <c r="H32" s="17">
        <f t="shared" si="35"/>
        <v>0</v>
      </c>
      <c r="I32" s="17">
        <f t="shared" si="35"/>
        <v>0</v>
      </c>
      <c r="J32" s="17">
        <f t="shared" si="35"/>
        <v>0</v>
      </c>
      <c r="K32" s="17">
        <f t="shared" si="35"/>
        <v>0</v>
      </c>
      <c r="L32" s="17">
        <f t="shared" si="11"/>
        <v>0</v>
      </c>
      <c r="M32" s="17">
        <f t="shared" si="12"/>
        <v>0</v>
      </c>
      <c r="N32" s="17">
        <f t="shared" si="13"/>
        <v>0</v>
      </c>
      <c r="O32" s="17">
        <f t="shared" ref="O32" si="36">O33</f>
        <v>0</v>
      </c>
      <c r="P32" s="17">
        <f t="shared" ref="P32" si="37">P33</f>
        <v>0</v>
      </c>
      <c r="Q32" s="17">
        <f t="shared" ref="Q32" si="38">Q33</f>
        <v>0</v>
      </c>
      <c r="R32" s="17">
        <f t="shared" ref="R32" si="39">R33</f>
        <v>0</v>
      </c>
      <c r="S32" s="17">
        <f t="shared" ref="S32" si="40">S33</f>
        <v>0</v>
      </c>
      <c r="T32" s="17">
        <f t="shared" ref="T32" si="41">T33</f>
        <v>0</v>
      </c>
      <c r="U32" s="22">
        <f t="shared" si="20"/>
        <v>0</v>
      </c>
    </row>
    <row r="33" ht="31.95" customHeight="1" spans="1:21">
      <c r="A33" s="8">
        <v>2239999</v>
      </c>
      <c r="B33" s="8" t="s">
        <v>1803</v>
      </c>
      <c r="C33" s="17">
        <f t="shared" si="7"/>
        <v>0</v>
      </c>
      <c r="D33" s="17">
        <f t="shared" si="8"/>
        <v>0</v>
      </c>
      <c r="E33" s="17">
        <f t="shared" si="9"/>
        <v>0</v>
      </c>
      <c r="F33" s="12"/>
      <c r="G33" s="12"/>
      <c r="H33" s="12"/>
      <c r="I33" s="12"/>
      <c r="J33" s="12"/>
      <c r="K33" s="12"/>
      <c r="L33" s="17">
        <f t="shared" si="11"/>
        <v>0</v>
      </c>
      <c r="M33" s="17">
        <f t="shared" si="12"/>
        <v>0</v>
      </c>
      <c r="N33" s="17">
        <f t="shared" si="13"/>
        <v>0</v>
      </c>
      <c r="O33" s="12"/>
      <c r="P33" s="12"/>
      <c r="Q33" s="12"/>
      <c r="R33" s="12"/>
      <c r="S33" s="12"/>
      <c r="T33" s="12"/>
      <c r="U33" s="22">
        <f t="shared" si="20"/>
        <v>0</v>
      </c>
    </row>
    <row r="34" ht="31.95" customHeight="1" spans="1:21">
      <c r="A34" s="18" t="s">
        <v>1021</v>
      </c>
      <c r="B34" s="7"/>
      <c r="C34" s="17">
        <f t="shared" si="7"/>
        <v>0</v>
      </c>
      <c r="D34" s="17">
        <f t="shared" si="8"/>
        <v>0</v>
      </c>
      <c r="E34" s="17">
        <f t="shared" si="9"/>
        <v>0</v>
      </c>
      <c r="F34" s="17">
        <f>F8</f>
        <v>0</v>
      </c>
      <c r="G34" s="17">
        <f t="shared" ref="G34:K34" si="42">G8</f>
        <v>0</v>
      </c>
      <c r="H34" s="17">
        <f t="shared" si="42"/>
        <v>0</v>
      </c>
      <c r="I34" s="17">
        <f t="shared" si="42"/>
        <v>0</v>
      </c>
      <c r="J34" s="17">
        <f t="shared" si="42"/>
        <v>0</v>
      </c>
      <c r="K34" s="17">
        <f t="shared" si="42"/>
        <v>0</v>
      </c>
      <c r="L34" s="17">
        <f t="shared" si="11"/>
        <v>0</v>
      </c>
      <c r="M34" s="17">
        <f t="shared" si="12"/>
        <v>0</v>
      </c>
      <c r="N34" s="17">
        <f t="shared" si="13"/>
        <v>0</v>
      </c>
      <c r="O34" s="17">
        <f t="shared" ref="O34:T34" si="43">O8</f>
        <v>0</v>
      </c>
      <c r="P34" s="17">
        <f t="shared" si="43"/>
        <v>0</v>
      </c>
      <c r="Q34" s="17">
        <f t="shared" si="43"/>
        <v>0</v>
      </c>
      <c r="R34" s="17">
        <f t="shared" si="43"/>
        <v>0</v>
      </c>
      <c r="S34" s="17">
        <f t="shared" si="43"/>
        <v>0</v>
      </c>
      <c r="T34" s="17">
        <f t="shared" si="43"/>
        <v>0</v>
      </c>
      <c r="U34" s="22">
        <f t="shared" si="20"/>
        <v>0</v>
      </c>
    </row>
    <row r="35" ht="31.95" customHeight="1" spans="1:21">
      <c r="A35" s="18" t="s">
        <v>1663</v>
      </c>
      <c r="B35" s="7" t="s">
        <v>1663</v>
      </c>
      <c r="C35" s="17">
        <f t="shared" si="7"/>
        <v>0</v>
      </c>
      <c r="D35" s="17">
        <f t="shared" si="8"/>
        <v>0</v>
      </c>
      <c r="E35" s="17">
        <f t="shared" si="9"/>
        <v>0</v>
      </c>
      <c r="F35" s="12"/>
      <c r="G35" s="11"/>
      <c r="H35" s="12"/>
      <c r="I35" s="11"/>
      <c r="J35" s="12"/>
      <c r="K35" s="11"/>
      <c r="L35" s="17">
        <f t="shared" si="11"/>
        <v>0</v>
      </c>
      <c r="M35" s="17">
        <f t="shared" si="12"/>
        <v>0</v>
      </c>
      <c r="N35" s="17">
        <f t="shared" si="13"/>
        <v>0</v>
      </c>
      <c r="O35" s="12"/>
      <c r="P35" s="11"/>
      <c r="Q35" s="12"/>
      <c r="R35" s="11"/>
      <c r="S35" s="12"/>
      <c r="T35" s="11"/>
      <c r="U35" s="22">
        <f t="shared" si="20"/>
        <v>0</v>
      </c>
    </row>
    <row r="36" ht="31.95" customHeight="1" spans="1:21">
      <c r="A36" s="18" t="s">
        <v>1667</v>
      </c>
      <c r="B36" s="7"/>
      <c r="C36" s="17">
        <f t="shared" si="7"/>
        <v>0</v>
      </c>
      <c r="D36" s="17">
        <f t="shared" si="8"/>
        <v>0</v>
      </c>
      <c r="E36" s="17">
        <f t="shared" si="9"/>
        <v>0</v>
      </c>
      <c r="F36" s="12"/>
      <c r="G36" s="12"/>
      <c r="H36" s="12"/>
      <c r="I36" s="12"/>
      <c r="J36" s="12"/>
      <c r="K36" s="12"/>
      <c r="L36" s="17">
        <f t="shared" si="11"/>
        <v>0</v>
      </c>
      <c r="M36" s="17">
        <f t="shared" si="12"/>
        <v>0</v>
      </c>
      <c r="N36" s="17">
        <f t="shared" si="13"/>
        <v>0</v>
      </c>
      <c r="O36" s="12"/>
      <c r="P36" s="12"/>
      <c r="Q36" s="12"/>
      <c r="R36" s="12"/>
      <c r="S36" s="12"/>
      <c r="T36" s="12"/>
      <c r="U36" s="22">
        <f t="shared" si="20"/>
        <v>0</v>
      </c>
    </row>
    <row r="37" ht="31.95" customHeight="1" spans="1:21">
      <c r="A37" s="18" t="s">
        <v>1671</v>
      </c>
      <c r="B37" s="7" t="s">
        <v>1671</v>
      </c>
      <c r="C37" s="17">
        <f t="shared" si="7"/>
        <v>0</v>
      </c>
      <c r="D37" s="17">
        <f t="shared" si="8"/>
        <v>0</v>
      </c>
      <c r="E37" s="17">
        <f t="shared" si="9"/>
        <v>0</v>
      </c>
      <c r="F37" s="12"/>
      <c r="G37" s="12"/>
      <c r="H37" s="12"/>
      <c r="I37" s="12"/>
      <c r="J37" s="12"/>
      <c r="K37" s="12"/>
      <c r="L37" s="17">
        <f t="shared" si="11"/>
        <v>0</v>
      </c>
      <c r="M37" s="17">
        <f t="shared" si="12"/>
        <v>0</v>
      </c>
      <c r="N37" s="17">
        <f t="shared" si="13"/>
        <v>0</v>
      </c>
      <c r="O37" s="12"/>
      <c r="P37" s="12"/>
      <c r="Q37" s="12"/>
      <c r="R37" s="12"/>
      <c r="S37" s="12"/>
      <c r="T37" s="12"/>
      <c r="U37" s="22">
        <f t="shared" si="20"/>
        <v>0</v>
      </c>
    </row>
    <row r="38" ht="31.95" customHeight="1" spans="1:21">
      <c r="A38" s="18" t="s">
        <v>1673</v>
      </c>
      <c r="B38" s="7"/>
      <c r="C38" s="17">
        <f t="shared" si="7"/>
        <v>0</v>
      </c>
      <c r="D38" s="17">
        <f t="shared" si="8"/>
        <v>0</v>
      </c>
      <c r="E38" s="17">
        <f t="shared" si="9"/>
        <v>0</v>
      </c>
      <c r="F38" s="12"/>
      <c r="G38" s="12"/>
      <c r="H38" s="12"/>
      <c r="I38" s="12"/>
      <c r="J38" s="12"/>
      <c r="K38" s="12"/>
      <c r="L38" s="17">
        <f t="shared" si="11"/>
        <v>0</v>
      </c>
      <c r="M38" s="17">
        <f t="shared" si="12"/>
        <v>0</v>
      </c>
      <c r="N38" s="17">
        <f t="shared" si="13"/>
        <v>0</v>
      </c>
      <c r="O38" s="12"/>
      <c r="P38" s="12"/>
      <c r="Q38" s="12"/>
      <c r="R38" s="12"/>
      <c r="S38" s="12"/>
      <c r="T38" s="12"/>
      <c r="U38" s="22">
        <f t="shared" si="20"/>
        <v>0</v>
      </c>
    </row>
    <row r="39" ht="44.7" customHeight="1" spans="1:21">
      <c r="A39" s="19" t="s">
        <v>1804</v>
      </c>
      <c r="B39" s="20"/>
      <c r="C39" s="21"/>
      <c r="D39" s="21"/>
      <c r="E39" s="21"/>
      <c r="F39" s="21"/>
      <c r="G39" s="21"/>
      <c r="H39" s="21"/>
      <c r="I39" s="21"/>
      <c r="J39" s="21"/>
      <c r="K39" s="21"/>
      <c r="L39" s="21"/>
      <c r="M39" s="21"/>
      <c r="N39" s="21"/>
      <c r="O39" s="21"/>
      <c r="P39" s="21"/>
      <c r="Q39" s="21"/>
      <c r="R39" s="21"/>
      <c r="S39" s="21"/>
      <c r="T39" s="21"/>
      <c r="U39" s="21"/>
    </row>
    <row r="42" spans="2:5">
      <c r="B42" s="13" t="s">
        <v>1680</v>
      </c>
      <c r="C42" s="14" t="s">
        <v>1681</v>
      </c>
      <c r="D42" s="14"/>
      <c r="E42" s="14"/>
    </row>
  </sheetData>
  <mergeCells count="24">
    <mergeCell ref="A2:U2"/>
    <mergeCell ref="A3:U3"/>
    <mergeCell ref="C4:K4"/>
    <mergeCell ref="L4:T4"/>
    <mergeCell ref="D5:E5"/>
    <mergeCell ref="F5:G5"/>
    <mergeCell ref="H5:I5"/>
    <mergeCell ref="J5:K5"/>
    <mergeCell ref="M5:N5"/>
    <mergeCell ref="O5:P5"/>
    <mergeCell ref="Q5:R5"/>
    <mergeCell ref="S5:T5"/>
    <mergeCell ref="A34:B34"/>
    <mergeCell ref="A35:B35"/>
    <mergeCell ref="A36:B36"/>
    <mergeCell ref="A37:B37"/>
    <mergeCell ref="A38:B38"/>
    <mergeCell ref="A39:U39"/>
    <mergeCell ref="C42:E42"/>
    <mergeCell ref="A4:A6"/>
    <mergeCell ref="B4:B6"/>
    <mergeCell ref="C5:C6"/>
    <mergeCell ref="L5:L6"/>
    <mergeCell ref="U4:U6"/>
  </mergeCells>
  <printOptions horizontalCentered="1"/>
  <pageMargins left="0.393700787401575" right="0.393700787401575" top="0.590551181102362" bottom="0.62992125984252" header="0.393700787401575" footer="0.393700787401575"/>
  <pageSetup paperSize="9" scale="55" firstPageNumber="82" orientation="landscape" useFirstPageNumber="1" horizontalDpi="300" verticalDpi="300"/>
  <headerFooter alignWithMargins="0" scaleWithDoc="0" differentOddEven="1">
    <oddFooter>&amp;L&amp;16—&amp;P—</oddFooter>
    <evenFooter>&amp;R&amp;16—&amp;P—</even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pane ySplit="4" topLeftCell="A21" activePane="bottomLeft" state="frozen"/>
      <selection/>
      <selection pane="bottomLeft" activeCell="I32" sqref="I32"/>
    </sheetView>
  </sheetViews>
  <sheetFormatPr defaultColWidth="7.7" defaultRowHeight="13.5" outlineLevelCol="4"/>
  <cols>
    <col min="1" max="1" width="8.2" style="2" customWidth="1"/>
    <col min="2" max="2" width="57.1" style="2" customWidth="1"/>
    <col min="3" max="3" width="6.9" style="2" customWidth="1"/>
    <col min="4" max="5" width="25.7" style="2" customWidth="1"/>
    <col min="6" max="16384" width="7.7" style="2"/>
  </cols>
  <sheetData>
    <row r="1" ht="14.25" spans="1:1">
      <c r="A1" s="3" t="s">
        <v>1805</v>
      </c>
    </row>
    <row r="2" s="1" customFormat="1" ht="22.5" spans="1:5">
      <c r="A2" s="4" t="s">
        <v>1806</v>
      </c>
      <c r="B2" s="4"/>
      <c r="C2" s="4"/>
      <c r="D2" s="4"/>
      <c r="E2" s="4"/>
    </row>
    <row r="3" ht="21" customHeight="1" spans="1:5">
      <c r="A3" s="5" t="s">
        <v>26</v>
      </c>
      <c r="B3" s="5"/>
      <c r="C3" s="5"/>
      <c r="D3" s="5"/>
      <c r="E3" s="5"/>
    </row>
    <row r="4" ht="22.2" customHeight="1" spans="1:5">
      <c r="A4" s="6" t="s">
        <v>1807</v>
      </c>
      <c r="B4" s="7"/>
      <c r="C4" s="6" t="s">
        <v>1634</v>
      </c>
      <c r="D4" s="6" t="s">
        <v>1636</v>
      </c>
      <c r="E4" s="6" t="s">
        <v>1637</v>
      </c>
    </row>
    <row r="5" ht="22.2" customHeight="1" spans="1:5">
      <c r="A5" s="8" t="s">
        <v>1808</v>
      </c>
      <c r="B5" s="7"/>
      <c r="C5" s="6" t="s">
        <v>1639</v>
      </c>
      <c r="D5" s="8"/>
      <c r="E5" s="8"/>
    </row>
    <row r="6" ht="22.2" customHeight="1" spans="1:5">
      <c r="A6" s="8"/>
      <c r="B6" s="8" t="s">
        <v>1809</v>
      </c>
      <c r="C6" s="6" t="s">
        <v>1640</v>
      </c>
      <c r="D6" s="9"/>
      <c r="E6" s="9"/>
    </row>
    <row r="7" ht="22.2" customHeight="1" spans="1:5">
      <c r="A7" s="8"/>
      <c r="B7" s="8" t="s">
        <v>1810</v>
      </c>
      <c r="C7" s="6" t="s">
        <v>1641</v>
      </c>
      <c r="D7" s="9"/>
      <c r="E7" s="9"/>
    </row>
    <row r="8" ht="22.2" customHeight="1" spans="1:5">
      <c r="A8" s="8"/>
      <c r="B8" s="8" t="s">
        <v>1811</v>
      </c>
      <c r="C8" s="6" t="s">
        <v>1642</v>
      </c>
      <c r="D8" s="9"/>
      <c r="E8" s="9"/>
    </row>
    <row r="9" ht="22.2" customHeight="1" spans="1:5">
      <c r="A9" s="8"/>
      <c r="B9" s="8" t="s">
        <v>1812</v>
      </c>
      <c r="C9" s="6" t="s">
        <v>1643</v>
      </c>
      <c r="D9" s="10" t="s">
        <v>1813</v>
      </c>
      <c r="E9" s="10" t="s">
        <v>1813</v>
      </c>
    </row>
    <row r="10" ht="22.2" customHeight="1" spans="1:5">
      <c r="A10" s="8"/>
      <c r="B10" s="8" t="s">
        <v>1814</v>
      </c>
      <c r="C10" s="6" t="s">
        <v>1644</v>
      </c>
      <c r="D10" s="10" t="s">
        <v>1813</v>
      </c>
      <c r="E10" s="10" t="s">
        <v>1813</v>
      </c>
    </row>
    <row r="11" ht="22.2" customHeight="1" spans="1:5">
      <c r="A11" s="8"/>
      <c r="B11" s="8" t="s">
        <v>1815</v>
      </c>
      <c r="C11" s="6" t="s">
        <v>1662</v>
      </c>
      <c r="D11" s="10" t="s">
        <v>1813</v>
      </c>
      <c r="E11" s="10" t="s">
        <v>1813</v>
      </c>
    </row>
    <row r="12" ht="22.2" customHeight="1" spans="1:5">
      <c r="A12" s="8"/>
      <c r="B12" s="8" t="s">
        <v>1816</v>
      </c>
      <c r="C12" s="6" t="s">
        <v>1666</v>
      </c>
      <c r="D12" s="10" t="s">
        <v>1813</v>
      </c>
      <c r="E12" s="10" t="s">
        <v>1813</v>
      </c>
    </row>
    <row r="13" ht="22.2" customHeight="1" spans="1:5">
      <c r="A13" s="8" t="s">
        <v>1817</v>
      </c>
      <c r="B13" s="7"/>
      <c r="C13" s="6" t="s">
        <v>1670</v>
      </c>
      <c r="D13" s="8"/>
      <c r="E13" s="8"/>
    </row>
    <row r="14" ht="22.2" customHeight="1" spans="1:5">
      <c r="A14" s="8"/>
      <c r="B14" s="8" t="s">
        <v>1818</v>
      </c>
      <c r="C14" s="6" t="s">
        <v>1676</v>
      </c>
      <c r="D14" s="11"/>
      <c r="E14" s="11"/>
    </row>
    <row r="15" ht="22.2" customHeight="1" spans="1:5">
      <c r="A15" s="8"/>
      <c r="B15" s="8" t="s">
        <v>1819</v>
      </c>
      <c r="C15" s="6" t="s">
        <v>1647</v>
      </c>
      <c r="D15" s="12"/>
      <c r="E15" s="12"/>
    </row>
    <row r="16" ht="22.2" customHeight="1" spans="1:5">
      <c r="A16" s="8"/>
      <c r="B16" s="8" t="s">
        <v>1820</v>
      </c>
      <c r="C16" s="6" t="s">
        <v>1650</v>
      </c>
      <c r="D16" s="12"/>
      <c r="E16" s="12"/>
    </row>
    <row r="17" ht="22.2" customHeight="1" spans="1:5">
      <c r="A17" s="8"/>
      <c r="B17" s="8" t="s">
        <v>1821</v>
      </c>
      <c r="C17" s="6" t="s">
        <v>1653</v>
      </c>
      <c r="D17" s="12"/>
      <c r="E17" s="12"/>
    </row>
    <row r="18" ht="22.2" customHeight="1" spans="1:5">
      <c r="A18" s="8"/>
      <c r="B18" s="8" t="s">
        <v>1822</v>
      </c>
      <c r="C18" s="6" t="s">
        <v>1656</v>
      </c>
      <c r="D18" s="12"/>
      <c r="E18" s="12"/>
    </row>
    <row r="19" ht="22.2" customHeight="1" spans="1:5">
      <c r="A19" s="8"/>
      <c r="B19" s="8" t="s">
        <v>1823</v>
      </c>
      <c r="C19" s="6" t="s">
        <v>1660</v>
      </c>
      <c r="D19" s="12"/>
      <c r="E19" s="12"/>
    </row>
    <row r="20" ht="22.2" customHeight="1" spans="1:5">
      <c r="A20" s="8"/>
      <c r="B20" s="8" t="s">
        <v>1824</v>
      </c>
      <c r="C20" s="6" t="s">
        <v>1664</v>
      </c>
      <c r="D20" s="12"/>
      <c r="E20" s="12"/>
    </row>
    <row r="21" ht="22.2" customHeight="1" spans="1:5">
      <c r="A21" s="8"/>
      <c r="B21" s="8" t="s">
        <v>1825</v>
      </c>
      <c r="C21" s="6" t="s">
        <v>1668</v>
      </c>
      <c r="D21" s="11"/>
      <c r="E21" s="11"/>
    </row>
    <row r="22" ht="22.2" customHeight="1" spans="1:5">
      <c r="A22" s="8"/>
      <c r="B22" s="8" t="s">
        <v>1819</v>
      </c>
      <c r="C22" s="6" t="s">
        <v>1672</v>
      </c>
      <c r="D22" s="12"/>
      <c r="E22" s="12"/>
    </row>
    <row r="23" ht="22.2" customHeight="1" spans="1:5">
      <c r="A23" s="8"/>
      <c r="B23" s="8" t="s">
        <v>1820</v>
      </c>
      <c r="C23" s="6" t="s">
        <v>1674</v>
      </c>
      <c r="D23" s="12"/>
      <c r="E23" s="12"/>
    </row>
    <row r="24" ht="22.2" customHeight="1" spans="1:5">
      <c r="A24" s="8"/>
      <c r="B24" s="8" t="s">
        <v>1821</v>
      </c>
      <c r="C24" s="6" t="s">
        <v>1678</v>
      </c>
      <c r="D24" s="12"/>
      <c r="E24" s="12"/>
    </row>
    <row r="25" ht="22.2" customHeight="1" spans="1:5">
      <c r="A25" s="8"/>
      <c r="B25" s="8" t="s">
        <v>1822</v>
      </c>
      <c r="C25" s="6" t="s">
        <v>1826</v>
      </c>
      <c r="D25" s="12"/>
      <c r="E25" s="12"/>
    </row>
    <row r="26" ht="22.2" customHeight="1" spans="1:5">
      <c r="A26" s="8"/>
      <c r="B26" s="8" t="s">
        <v>1823</v>
      </c>
      <c r="C26" s="6" t="s">
        <v>1827</v>
      </c>
      <c r="D26" s="12"/>
      <c r="E26" s="12"/>
    </row>
    <row r="27" ht="22.2" customHeight="1" spans="1:5">
      <c r="A27" s="8"/>
      <c r="B27" s="8" t="s">
        <v>1824</v>
      </c>
      <c r="C27" s="6" t="s">
        <v>1828</v>
      </c>
      <c r="D27" s="12"/>
      <c r="E27" s="12"/>
    </row>
    <row r="28" ht="22.2" customHeight="1" spans="1:5">
      <c r="A28" s="8" t="s">
        <v>1829</v>
      </c>
      <c r="B28" s="7"/>
      <c r="C28" s="6" t="s">
        <v>1830</v>
      </c>
      <c r="D28" s="8"/>
      <c r="E28" s="8"/>
    </row>
    <row r="29" ht="22.2" customHeight="1" spans="1:5">
      <c r="A29" s="8"/>
      <c r="B29" s="8" t="s">
        <v>1831</v>
      </c>
      <c r="C29" s="6" t="s">
        <v>1832</v>
      </c>
      <c r="D29" s="10" t="s">
        <v>1813</v>
      </c>
      <c r="E29" s="10" t="s">
        <v>1813</v>
      </c>
    </row>
    <row r="30" ht="22.2" customHeight="1" spans="1:5">
      <c r="A30" s="8"/>
      <c r="B30" s="8" t="s">
        <v>1833</v>
      </c>
      <c r="C30" s="6" t="s">
        <v>1834</v>
      </c>
      <c r="D30" s="10" t="s">
        <v>1813</v>
      </c>
      <c r="E30" s="10" t="s">
        <v>1813</v>
      </c>
    </row>
    <row r="31" ht="22.2" customHeight="1" spans="1:5">
      <c r="A31" s="8" t="s">
        <v>1835</v>
      </c>
      <c r="B31" s="7"/>
      <c r="C31" s="6" t="s">
        <v>1836</v>
      </c>
      <c r="D31" s="8"/>
      <c r="E31" s="8"/>
    </row>
    <row r="32" ht="22.2" customHeight="1" spans="1:5">
      <c r="A32" s="8"/>
      <c r="B32" s="8" t="s">
        <v>1837</v>
      </c>
      <c r="C32" s="6" t="s">
        <v>1838</v>
      </c>
      <c r="D32" s="10" t="s">
        <v>1813</v>
      </c>
      <c r="E32" s="10" t="s">
        <v>1813</v>
      </c>
    </row>
    <row r="33" ht="22.2" customHeight="1" spans="1:5">
      <c r="A33" s="8"/>
      <c r="B33" s="8" t="s">
        <v>1839</v>
      </c>
      <c r="C33" s="6" t="s">
        <v>1840</v>
      </c>
      <c r="D33" s="10" t="s">
        <v>1813</v>
      </c>
      <c r="E33" s="10" t="s">
        <v>1813</v>
      </c>
    </row>
    <row r="34" ht="22.2" customHeight="1" spans="1:5">
      <c r="A34" s="8" t="s">
        <v>1841</v>
      </c>
      <c r="B34" s="8"/>
      <c r="C34" s="6"/>
      <c r="D34" s="11"/>
      <c r="E34" s="11"/>
    </row>
    <row r="39" spans="2:5">
      <c r="B39" s="13" t="s">
        <v>1680</v>
      </c>
      <c r="C39" s="14" t="s">
        <v>1681</v>
      </c>
      <c r="D39" s="14"/>
      <c r="E39" s="14"/>
    </row>
  </sheetData>
  <mergeCells count="9">
    <mergeCell ref="A2:E2"/>
    <mergeCell ref="A3:E3"/>
    <mergeCell ref="A4:B4"/>
    <mergeCell ref="A5:B5"/>
    <mergeCell ref="A13:B13"/>
    <mergeCell ref="A28:B28"/>
    <mergeCell ref="A31:B31"/>
    <mergeCell ref="A34:E34"/>
    <mergeCell ref="C39:E39"/>
  </mergeCells>
  <printOptions horizontalCentered="1"/>
  <pageMargins left="0.393700787401575" right="0.393700787401575" top="0.590551181102362" bottom="0.62992125984252" header="0.393700787401575" footer="0.393700787401575"/>
  <pageSetup paperSize="9" firstPageNumber="84" orientation="landscape" useFirstPageNumber="1" horizontalDpi="300" verticalDpi="300"/>
  <headerFooter alignWithMargins="0" scaleWithDoc="0" differentOddEven="1">
    <oddFooter>&amp;L&amp;16—&amp;P—</oddFooter>
    <evenFooter>&amp;R&amp;16—&amp;P—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showGridLines="0" showZeros="0" zoomScale="90" zoomScaleNormal="90" workbookViewId="0">
      <selection activeCell="C11" sqref="C11"/>
    </sheetView>
  </sheetViews>
  <sheetFormatPr defaultColWidth="18.7" defaultRowHeight="14.25" outlineLevelCol="4"/>
  <cols>
    <col min="1" max="16384" width="18.7" style="262"/>
  </cols>
  <sheetData>
    <row r="1" ht="48.75" customHeight="1" spans="1:5">
      <c r="A1" s="263" t="s">
        <v>9</v>
      </c>
      <c r="B1" s="263"/>
      <c r="C1" s="263"/>
      <c r="D1" s="263"/>
      <c r="E1" s="263"/>
    </row>
    <row r="2" s="260" customFormat="1" ht="28.05" customHeight="1" spans="1:1">
      <c r="A2" s="264" t="s">
        <v>10</v>
      </c>
    </row>
    <row r="3" s="260" customFormat="1" ht="28.05" customHeight="1" spans="1:1">
      <c r="A3" s="264" t="s">
        <v>11</v>
      </c>
    </row>
    <row r="4" s="260" customFormat="1" ht="28.05" customHeight="1" spans="1:1">
      <c r="A4" s="264" t="s">
        <v>12</v>
      </c>
    </row>
    <row r="5" s="260" customFormat="1" ht="28.05" customHeight="1" spans="1:1">
      <c r="A5" s="264" t="s">
        <v>13</v>
      </c>
    </row>
    <row r="6" s="260" customFormat="1" ht="28.05" customHeight="1" spans="1:1">
      <c r="A6" s="264" t="s">
        <v>14</v>
      </c>
    </row>
    <row r="7" s="260" customFormat="1" ht="28.05" customHeight="1" spans="1:1">
      <c r="A7" s="264" t="s">
        <v>15</v>
      </c>
    </row>
    <row r="8" s="260" customFormat="1" ht="28.05" customHeight="1" spans="1:1">
      <c r="A8" s="264" t="s">
        <v>16</v>
      </c>
    </row>
    <row r="9" s="260" customFormat="1" ht="28.05" customHeight="1" spans="1:1">
      <c r="A9" s="264" t="s">
        <v>17</v>
      </c>
    </row>
    <row r="10" s="260" customFormat="1" ht="28.05" customHeight="1" spans="1:1">
      <c r="A10" s="264" t="s">
        <v>18</v>
      </c>
    </row>
    <row r="11" s="260" customFormat="1" ht="28.05" customHeight="1" spans="1:1">
      <c r="A11" s="264" t="s">
        <v>19</v>
      </c>
    </row>
    <row r="12" s="260" customFormat="1" ht="28.05" customHeight="1" spans="1:1">
      <c r="A12" s="264" t="s">
        <v>20</v>
      </c>
    </row>
    <row r="13" s="260" customFormat="1" ht="28.05" customHeight="1" spans="1:1">
      <c r="A13" s="264" t="s">
        <v>21</v>
      </c>
    </row>
    <row r="14" s="261" customFormat="1" ht="28.05" customHeight="1" spans="1:1">
      <c r="A14" s="264" t="s">
        <v>22</v>
      </c>
    </row>
    <row r="15" ht="28.05" customHeight="1" spans="1:1">
      <c r="A15" s="264" t="s">
        <v>23</v>
      </c>
    </row>
  </sheetData>
  <mergeCells count="1">
    <mergeCell ref="A1:E1"/>
  </mergeCells>
  <printOptions horizontalCentered="1"/>
  <pageMargins left="0.393700787401575" right="0.393700787401575" top="0.590551181102362" bottom="0.62992125984252" header="0.393700787401575" footer="0.393700787401575"/>
  <pageSetup paperSize="9" firstPageNumber="9" orientation="landscape" useFirstPageNumber="1"/>
  <headerFooter alignWithMargins="0">
    <oddFooter>&amp;R&amp;16—&amp;P—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showZeros="0" topLeftCell="B1" workbookViewId="0">
      <pane ySplit="5" topLeftCell="A6" activePane="bottomLeft" state="frozen"/>
      <selection/>
      <selection pane="bottomLeft" activeCell="E17" sqref="E17"/>
    </sheetView>
  </sheetViews>
  <sheetFormatPr defaultColWidth="9" defaultRowHeight="13.5" outlineLevelCol="7"/>
  <cols>
    <col min="1" max="1" width="9" style="34"/>
    <col min="2" max="2" width="32.1" style="34" customWidth="1"/>
    <col min="3" max="5" width="19.9" style="35" customWidth="1"/>
    <col min="6" max="6" width="18.6" style="35" customWidth="1"/>
    <col min="7" max="7" width="16.6" style="35" customWidth="1"/>
    <col min="8" max="16384" width="9" style="34"/>
  </cols>
  <sheetData>
    <row r="1" ht="18" customHeight="1" spans="1:1">
      <c r="A1" s="36" t="s">
        <v>24</v>
      </c>
    </row>
    <row r="2" s="32" customFormat="1" ht="22.5" spans="1:7">
      <c r="A2" s="26" t="s">
        <v>25</v>
      </c>
      <c r="B2" s="26"/>
      <c r="C2" s="37"/>
      <c r="D2" s="37"/>
      <c r="E2" s="37"/>
      <c r="F2" s="37"/>
      <c r="G2" s="37"/>
    </row>
    <row r="3" ht="20.25" customHeight="1" spans="7:7">
      <c r="G3" s="38" t="s">
        <v>26</v>
      </c>
    </row>
    <row r="4" ht="31.5" customHeight="1" spans="1:8">
      <c r="A4" s="237" t="s">
        <v>27</v>
      </c>
      <c r="B4" s="238"/>
      <c r="C4" s="40" t="s">
        <v>28</v>
      </c>
      <c r="D4" s="40" t="s">
        <v>29</v>
      </c>
      <c r="E4" s="254" t="s">
        <v>30</v>
      </c>
      <c r="F4" s="255"/>
      <c r="G4" s="256"/>
      <c r="H4" s="239" t="s">
        <v>31</v>
      </c>
    </row>
    <row r="5" ht="34.05" customHeight="1" spans="1:8">
      <c r="A5" s="72" t="s">
        <v>32</v>
      </c>
      <c r="B5" s="72" t="s">
        <v>33</v>
      </c>
      <c r="C5" s="43"/>
      <c r="D5" s="43"/>
      <c r="E5" s="66" t="s">
        <v>34</v>
      </c>
      <c r="F5" s="73" t="s">
        <v>35</v>
      </c>
      <c r="G5" s="73" t="s">
        <v>36</v>
      </c>
      <c r="H5" s="45"/>
    </row>
    <row r="6" ht="20.1" customHeight="1" spans="1:8">
      <c r="A6" s="50">
        <v>101</v>
      </c>
      <c r="B6" s="52" t="s">
        <v>37</v>
      </c>
      <c r="C6" s="74">
        <f>SUM(C7:C22)</f>
        <v>13893</v>
      </c>
      <c r="D6" s="74">
        <f>SUM(D7:D22)</f>
        <v>14696</v>
      </c>
      <c r="E6" s="74">
        <f>SUM(E7:E22)</f>
        <v>15231</v>
      </c>
      <c r="F6" s="24">
        <f>IF(C6&gt;0,E6/C6*100,)</f>
        <v>109.630749298208</v>
      </c>
      <c r="G6" s="24">
        <f>IF(D6&gt;0,E6/D6*100,)</f>
        <v>103.640446379967</v>
      </c>
      <c r="H6" s="74">
        <f>SUM(H7:H22)</f>
        <v>0</v>
      </c>
    </row>
    <row r="7" ht="20.1" customHeight="1" spans="1:8">
      <c r="A7" s="50">
        <v>10101</v>
      </c>
      <c r="B7" s="52" t="s">
        <v>38</v>
      </c>
      <c r="C7" s="52">
        <v>6302</v>
      </c>
      <c r="D7" s="52">
        <v>7104</v>
      </c>
      <c r="E7" s="52">
        <v>7577</v>
      </c>
      <c r="F7" s="24">
        <f t="shared" ref="F7:F32" si="0">IF(C7&gt;0,E7/C7*100,)</f>
        <v>120.231672484925</v>
      </c>
      <c r="G7" s="24">
        <f t="shared" ref="G7:G32" si="1">IF(D7&gt;0,E7/D7*100,)</f>
        <v>106.658220720721</v>
      </c>
      <c r="H7" s="52"/>
    </row>
    <row r="8" ht="20.1" customHeight="1" spans="1:8">
      <c r="A8" s="50">
        <v>10104</v>
      </c>
      <c r="B8" s="52" t="s">
        <v>39</v>
      </c>
      <c r="C8" s="52">
        <v>1262</v>
      </c>
      <c r="D8" s="52">
        <v>1788</v>
      </c>
      <c r="E8" s="52">
        <v>1812</v>
      </c>
      <c r="F8" s="24">
        <f t="shared" si="0"/>
        <v>143.581616481775</v>
      </c>
      <c r="G8" s="24">
        <f t="shared" si="1"/>
        <v>101.342281879195</v>
      </c>
      <c r="H8" s="52"/>
    </row>
    <row r="9" ht="20.1" customHeight="1" spans="1:8">
      <c r="A9" s="50">
        <v>10105</v>
      </c>
      <c r="B9" s="52" t="s">
        <v>40</v>
      </c>
      <c r="C9" s="52"/>
      <c r="D9" s="52"/>
      <c r="E9" s="52"/>
      <c r="F9" s="24">
        <f t="shared" si="0"/>
        <v>0</v>
      </c>
      <c r="G9" s="24">
        <f t="shared" si="1"/>
        <v>0</v>
      </c>
      <c r="H9" s="52"/>
    </row>
    <row r="10" ht="20.1" customHeight="1" spans="1:8">
      <c r="A10" s="50">
        <v>10106</v>
      </c>
      <c r="B10" s="52" t="s">
        <v>41</v>
      </c>
      <c r="C10" s="52">
        <v>648</v>
      </c>
      <c r="D10" s="52">
        <v>636</v>
      </c>
      <c r="E10" s="52">
        <v>642</v>
      </c>
      <c r="F10" s="24">
        <f t="shared" si="0"/>
        <v>99.0740740740741</v>
      </c>
      <c r="G10" s="24">
        <f t="shared" si="1"/>
        <v>100.943396226415</v>
      </c>
      <c r="H10" s="52"/>
    </row>
    <row r="11" ht="20.1" customHeight="1" spans="1:8">
      <c r="A11" s="50">
        <v>10107</v>
      </c>
      <c r="B11" s="52" t="s">
        <v>42</v>
      </c>
      <c r="C11" s="52">
        <v>688</v>
      </c>
      <c r="D11" s="52">
        <v>1405</v>
      </c>
      <c r="E11" s="52">
        <v>1420</v>
      </c>
      <c r="F11" s="24">
        <f t="shared" si="0"/>
        <v>206.395348837209</v>
      </c>
      <c r="G11" s="24">
        <f t="shared" si="1"/>
        <v>101.067615658363</v>
      </c>
      <c r="H11" s="52"/>
    </row>
    <row r="12" ht="20.1" customHeight="1" spans="1:8">
      <c r="A12" s="50">
        <v>10109</v>
      </c>
      <c r="B12" s="52" t="s">
        <v>43</v>
      </c>
      <c r="C12" s="52">
        <v>755</v>
      </c>
      <c r="D12" s="52">
        <v>1008</v>
      </c>
      <c r="E12" s="52">
        <v>1018</v>
      </c>
      <c r="F12" s="24">
        <f t="shared" si="0"/>
        <v>134.834437086093</v>
      </c>
      <c r="G12" s="24">
        <f t="shared" si="1"/>
        <v>100.992063492063</v>
      </c>
      <c r="H12" s="52"/>
    </row>
    <row r="13" ht="20.1" customHeight="1" spans="1:8">
      <c r="A13" s="50">
        <v>10110</v>
      </c>
      <c r="B13" s="52" t="s">
        <v>44</v>
      </c>
      <c r="C13" s="52">
        <v>389</v>
      </c>
      <c r="D13" s="52">
        <v>616</v>
      </c>
      <c r="E13" s="52">
        <v>620</v>
      </c>
      <c r="F13" s="24">
        <f t="shared" si="0"/>
        <v>159.383033419023</v>
      </c>
      <c r="G13" s="24">
        <f t="shared" si="1"/>
        <v>100.649350649351</v>
      </c>
      <c r="H13" s="52"/>
    </row>
    <row r="14" ht="20.1" customHeight="1" spans="1:8">
      <c r="A14" s="50">
        <v>10111</v>
      </c>
      <c r="B14" s="52" t="s">
        <v>45</v>
      </c>
      <c r="C14" s="52">
        <v>357</v>
      </c>
      <c r="D14" s="52">
        <v>409</v>
      </c>
      <c r="E14" s="52">
        <v>410</v>
      </c>
      <c r="F14" s="24">
        <f t="shared" si="0"/>
        <v>114.84593837535</v>
      </c>
      <c r="G14" s="24">
        <f t="shared" si="1"/>
        <v>100.244498777506</v>
      </c>
      <c r="H14" s="52"/>
    </row>
    <row r="15" ht="20.1" customHeight="1" spans="1:8">
      <c r="A15" s="50">
        <v>10112</v>
      </c>
      <c r="B15" s="52" t="s">
        <v>46</v>
      </c>
      <c r="C15" s="52">
        <v>133</v>
      </c>
      <c r="D15" s="52">
        <v>155</v>
      </c>
      <c r="E15" s="52">
        <v>150</v>
      </c>
      <c r="F15" s="24">
        <f t="shared" si="0"/>
        <v>112.781954887218</v>
      </c>
      <c r="G15" s="24">
        <f t="shared" si="1"/>
        <v>96.7741935483871</v>
      </c>
      <c r="H15" s="52"/>
    </row>
    <row r="16" ht="20.1" customHeight="1" spans="1:8">
      <c r="A16" s="50">
        <v>10113</v>
      </c>
      <c r="B16" s="52" t="s">
        <v>47</v>
      </c>
      <c r="C16" s="52">
        <v>803</v>
      </c>
      <c r="D16" s="52">
        <v>338</v>
      </c>
      <c r="E16" s="52">
        <v>340</v>
      </c>
      <c r="F16" s="24">
        <f t="shared" si="0"/>
        <v>42.3412204234122</v>
      </c>
      <c r="G16" s="24">
        <f t="shared" si="1"/>
        <v>100.591715976331</v>
      </c>
      <c r="H16" s="52"/>
    </row>
    <row r="17" ht="20.1" customHeight="1" spans="1:8">
      <c r="A17" s="50">
        <v>10114</v>
      </c>
      <c r="B17" s="52" t="s">
        <v>48</v>
      </c>
      <c r="C17" s="52">
        <v>448</v>
      </c>
      <c r="D17" s="52">
        <v>450</v>
      </c>
      <c r="E17" s="52">
        <v>450</v>
      </c>
      <c r="F17" s="24">
        <f t="shared" si="0"/>
        <v>100.446428571429</v>
      </c>
      <c r="G17" s="24">
        <f t="shared" si="1"/>
        <v>100</v>
      </c>
      <c r="H17" s="52"/>
    </row>
    <row r="18" ht="20.1" customHeight="1" spans="1:8">
      <c r="A18" s="50">
        <v>10118</v>
      </c>
      <c r="B18" s="52" t="s">
        <v>49</v>
      </c>
      <c r="C18" s="52">
        <v>1126</v>
      </c>
      <c r="D18" s="52">
        <v>129</v>
      </c>
      <c r="E18" s="52">
        <v>130</v>
      </c>
      <c r="F18" s="24">
        <f t="shared" si="0"/>
        <v>11.5452930728242</v>
      </c>
      <c r="G18" s="24">
        <f t="shared" si="1"/>
        <v>100.77519379845</v>
      </c>
      <c r="H18" s="52"/>
    </row>
    <row r="19" ht="20.1" customHeight="1" spans="1:8">
      <c r="A19" s="50">
        <v>10119</v>
      </c>
      <c r="B19" s="52" t="s">
        <v>50</v>
      </c>
      <c r="C19" s="52">
        <v>976</v>
      </c>
      <c r="D19" s="52">
        <v>646</v>
      </c>
      <c r="E19" s="52">
        <v>650</v>
      </c>
      <c r="F19" s="24">
        <f t="shared" si="0"/>
        <v>66.5983606557377</v>
      </c>
      <c r="G19" s="24">
        <f t="shared" si="1"/>
        <v>100.61919504644</v>
      </c>
      <c r="H19" s="52"/>
    </row>
    <row r="20" ht="20.1" customHeight="1" spans="1:8">
      <c r="A20" s="50">
        <v>10120</v>
      </c>
      <c r="B20" s="52" t="s">
        <v>51</v>
      </c>
      <c r="C20" s="52"/>
      <c r="D20" s="52"/>
      <c r="E20" s="52"/>
      <c r="F20" s="24">
        <f t="shared" si="0"/>
        <v>0</v>
      </c>
      <c r="G20" s="24">
        <f t="shared" si="1"/>
        <v>0</v>
      </c>
      <c r="H20" s="52"/>
    </row>
    <row r="21" ht="20.1" customHeight="1" spans="1:8">
      <c r="A21" s="50">
        <v>10121</v>
      </c>
      <c r="B21" s="52" t="s">
        <v>52</v>
      </c>
      <c r="C21" s="52">
        <v>6</v>
      </c>
      <c r="D21" s="52">
        <v>12</v>
      </c>
      <c r="E21" s="52">
        <v>12</v>
      </c>
      <c r="F21" s="24">
        <f t="shared" si="0"/>
        <v>200</v>
      </c>
      <c r="G21" s="24">
        <f t="shared" si="1"/>
        <v>100</v>
      </c>
      <c r="H21" s="52"/>
    </row>
    <row r="22" ht="20.1" customHeight="1" spans="1:8">
      <c r="A22" s="50">
        <v>10199</v>
      </c>
      <c r="B22" s="52" t="s">
        <v>53</v>
      </c>
      <c r="C22" s="52"/>
      <c r="D22" s="52"/>
      <c r="E22" s="52"/>
      <c r="F22" s="24">
        <f t="shared" si="0"/>
        <v>0</v>
      </c>
      <c r="G22" s="24">
        <f t="shared" si="1"/>
        <v>0</v>
      </c>
      <c r="H22" s="52"/>
    </row>
    <row r="23" ht="21" customHeight="1" spans="1:8">
      <c r="A23" s="50">
        <v>103</v>
      </c>
      <c r="B23" s="52" t="s">
        <v>54</v>
      </c>
      <c r="C23" s="74">
        <f>SUM(C24:C32)</f>
        <v>9611</v>
      </c>
      <c r="D23" s="74">
        <f>SUM(D24:D32)</f>
        <v>7278</v>
      </c>
      <c r="E23" s="74">
        <f>SUM(E24:E32)</f>
        <v>11152</v>
      </c>
      <c r="F23" s="24">
        <f t="shared" si="0"/>
        <v>116.033711372386</v>
      </c>
      <c r="G23" s="24">
        <f t="shared" si="1"/>
        <v>153.228909040945</v>
      </c>
      <c r="H23" s="74">
        <f>SUM(H24:H32)</f>
        <v>0</v>
      </c>
    </row>
    <row r="24" ht="20.1" customHeight="1" spans="1:8">
      <c r="A24" s="50">
        <v>10302</v>
      </c>
      <c r="B24" s="52" t="s">
        <v>55</v>
      </c>
      <c r="C24" s="52">
        <v>997</v>
      </c>
      <c r="D24" s="52">
        <v>1375</v>
      </c>
      <c r="E24" s="52">
        <v>1231</v>
      </c>
      <c r="F24" s="24">
        <f t="shared" si="0"/>
        <v>123.470411233701</v>
      </c>
      <c r="G24" s="24">
        <f t="shared" si="1"/>
        <v>89.5272727272727</v>
      </c>
      <c r="H24" s="52"/>
    </row>
    <row r="25" ht="20.1" customHeight="1" spans="1:8">
      <c r="A25" s="50">
        <v>10304</v>
      </c>
      <c r="B25" s="52" t="s">
        <v>56</v>
      </c>
      <c r="C25" s="52">
        <v>1370</v>
      </c>
      <c r="D25" s="52">
        <v>909</v>
      </c>
      <c r="E25" s="52">
        <v>900</v>
      </c>
      <c r="F25" s="24">
        <f t="shared" si="0"/>
        <v>65.6934306569343</v>
      </c>
      <c r="G25" s="24">
        <f t="shared" si="1"/>
        <v>99.009900990099</v>
      </c>
      <c r="H25" s="52"/>
    </row>
    <row r="26" ht="20.1" customHeight="1" spans="1:8">
      <c r="A26" s="50">
        <v>10305</v>
      </c>
      <c r="B26" s="52" t="s">
        <v>57</v>
      </c>
      <c r="C26" s="52">
        <v>1395</v>
      </c>
      <c r="D26" s="52">
        <v>1248</v>
      </c>
      <c r="E26" s="52">
        <v>4100</v>
      </c>
      <c r="F26" s="24">
        <f t="shared" si="0"/>
        <v>293.906810035842</v>
      </c>
      <c r="G26" s="24">
        <f t="shared" si="1"/>
        <v>328.525641025641</v>
      </c>
      <c r="H26" s="52"/>
    </row>
    <row r="27" ht="20.1" customHeight="1" spans="1:8">
      <c r="A27" s="50">
        <v>10306</v>
      </c>
      <c r="B27" s="52" t="s">
        <v>58</v>
      </c>
      <c r="C27" s="52">
        <v>1200</v>
      </c>
      <c r="D27" s="52">
        <v>843</v>
      </c>
      <c r="E27" s="52">
        <v>800</v>
      </c>
      <c r="F27" s="24">
        <f t="shared" si="0"/>
        <v>66.6666666666667</v>
      </c>
      <c r="G27" s="24">
        <f t="shared" si="1"/>
        <v>94.8991696322657</v>
      </c>
      <c r="H27" s="52"/>
    </row>
    <row r="28" ht="20.1" customHeight="1" spans="1:8">
      <c r="A28" s="50">
        <v>10307</v>
      </c>
      <c r="B28" s="52" t="s">
        <v>59</v>
      </c>
      <c r="C28" s="52">
        <v>2092</v>
      </c>
      <c r="D28" s="52">
        <v>2593</v>
      </c>
      <c r="E28" s="52">
        <v>3100</v>
      </c>
      <c r="F28" s="24">
        <f t="shared" si="0"/>
        <v>148.183556405354</v>
      </c>
      <c r="G28" s="24">
        <f t="shared" si="1"/>
        <v>119.552641727728</v>
      </c>
      <c r="H28" s="52"/>
    </row>
    <row r="29" ht="20.1" customHeight="1" spans="1:8">
      <c r="A29" s="50">
        <v>10308</v>
      </c>
      <c r="B29" s="52" t="s">
        <v>60</v>
      </c>
      <c r="C29" s="52"/>
      <c r="D29" s="52"/>
      <c r="E29" s="52"/>
      <c r="F29" s="24">
        <f t="shared" si="0"/>
        <v>0</v>
      </c>
      <c r="G29" s="24">
        <f t="shared" si="1"/>
        <v>0</v>
      </c>
      <c r="H29" s="52"/>
    </row>
    <row r="30" s="253" customFormat="1" ht="20.1" customHeight="1" spans="1:8">
      <c r="A30" s="50">
        <v>10309</v>
      </c>
      <c r="B30" s="52" t="s">
        <v>61</v>
      </c>
      <c r="C30" s="257">
        <v>152</v>
      </c>
      <c r="D30" s="257">
        <v>37</v>
      </c>
      <c r="E30" s="257">
        <v>30</v>
      </c>
      <c r="F30" s="24">
        <f t="shared" si="0"/>
        <v>19.7368421052632</v>
      </c>
      <c r="G30" s="24">
        <f t="shared" si="1"/>
        <v>81.0810810810811</v>
      </c>
      <c r="H30" s="257"/>
    </row>
    <row r="31" s="253" customFormat="1" ht="20.1" customHeight="1" spans="1:8">
      <c r="A31" s="50">
        <v>10399</v>
      </c>
      <c r="B31" s="52" t="s">
        <v>62</v>
      </c>
      <c r="C31" s="257">
        <v>2405</v>
      </c>
      <c r="D31" s="257">
        <v>273</v>
      </c>
      <c r="E31" s="257">
        <v>991</v>
      </c>
      <c r="F31" s="24">
        <f t="shared" si="0"/>
        <v>41.2058212058212</v>
      </c>
      <c r="G31" s="24">
        <f t="shared" si="1"/>
        <v>363.003663003663</v>
      </c>
      <c r="H31" s="257"/>
    </row>
    <row r="32" s="253" customFormat="1" ht="20.1" customHeight="1" spans="1:8">
      <c r="A32" s="50"/>
      <c r="B32" s="52" t="s">
        <v>5</v>
      </c>
      <c r="C32" s="257"/>
      <c r="D32" s="257"/>
      <c r="E32" s="257"/>
      <c r="F32" s="24">
        <f t="shared" si="0"/>
        <v>0</v>
      </c>
      <c r="G32" s="24">
        <f t="shared" si="1"/>
        <v>0</v>
      </c>
      <c r="H32" s="257"/>
    </row>
    <row r="33" ht="20.1" customHeight="1" spans="1:8">
      <c r="A33" s="258" t="s">
        <v>63</v>
      </c>
      <c r="B33" s="259"/>
      <c r="C33" s="74">
        <f>C6+C23</f>
        <v>23504</v>
      </c>
      <c r="D33" s="74">
        <f>D6+D23</f>
        <v>21974</v>
      </c>
      <c r="E33" s="74">
        <f>E6+E23</f>
        <v>26383</v>
      </c>
      <c r="F33" s="24">
        <f t="shared" ref="F33" si="2">IF(C33&gt;0,E33/C33*100,)</f>
        <v>112.248978897209</v>
      </c>
      <c r="G33" s="24">
        <f t="shared" ref="G33" si="3">IF(D33&gt;0,E33/D33*100,)</f>
        <v>120.064621825794</v>
      </c>
      <c r="H33" s="74">
        <f>H6+H23</f>
        <v>0</v>
      </c>
    </row>
  </sheetData>
  <mergeCells count="7">
    <mergeCell ref="A2:G2"/>
    <mergeCell ref="A4:B4"/>
    <mergeCell ref="E4:G4"/>
    <mergeCell ref="A33:B33"/>
    <mergeCell ref="C4:C5"/>
    <mergeCell ref="D4:D5"/>
    <mergeCell ref="H4:H5"/>
  </mergeCells>
  <printOptions horizontalCentered="1"/>
  <pageMargins left="0.393700787401575" right="0.393700787401575" top="0.590551181102362" bottom="0.62992125984252" header="0.393700787401575" footer="0.393700787401575"/>
  <pageSetup paperSize="9" scale="95" firstPageNumber="10" fitToWidth="0" orientation="landscape" useFirstPageNumber="1"/>
  <headerFooter differentOddEven="1">
    <oddFooter>&amp;L&amp;16—&amp;P—</oddFooter>
    <evenFooter>&amp;R&amp;16—&amp;P—</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50"/>
  <sheetViews>
    <sheetView showZeros="0" workbookViewId="0">
      <pane ySplit="5" topLeftCell="A558" activePane="bottomLeft" state="frozen"/>
      <selection/>
      <selection pane="bottomLeft" activeCell="B570" sqref="B570"/>
    </sheetView>
  </sheetViews>
  <sheetFormatPr defaultColWidth="9" defaultRowHeight="13.5" outlineLevelCol="7"/>
  <cols>
    <col min="1" max="1" width="9" style="234"/>
    <col min="2" max="2" width="27" style="34" customWidth="1"/>
    <col min="3" max="3" width="18.4" style="34" customWidth="1"/>
    <col min="4" max="4" width="14.6" style="34" customWidth="1"/>
    <col min="5" max="5" width="13.8" style="34" customWidth="1"/>
    <col min="6" max="7" width="17.3" style="34" customWidth="1"/>
    <col min="8" max="8" width="11.8" style="34" customWidth="1"/>
    <col min="9" max="9" width="16.2" style="34" customWidth="1"/>
    <col min="10" max="16384" width="9" style="34"/>
  </cols>
  <sheetData>
    <row r="1" s="34" customFormat="1" ht="14.25" spans="1:7">
      <c r="A1" s="235" t="s">
        <v>64</v>
      </c>
      <c r="F1" s="78" t="s">
        <v>5</v>
      </c>
      <c r="G1" s="78"/>
    </row>
    <row r="2" s="32" customFormat="1" ht="22.5" spans="1:7">
      <c r="A2" s="26" t="s">
        <v>65</v>
      </c>
      <c r="B2" s="26"/>
      <c r="C2" s="26"/>
      <c r="D2" s="26"/>
      <c r="E2" s="236"/>
      <c r="F2" s="26"/>
      <c r="G2" s="26"/>
    </row>
    <row r="3" s="34" customFormat="1" spans="1:7">
      <c r="A3" s="234"/>
      <c r="G3" s="78" t="s">
        <v>26</v>
      </c>
    </row>
    <row r="4" s="34" customFormat="1" ht="22.95" customHeight="1" spans="1:8">
      <c r="A4" s="237" t="s">
        <v>27</v>
      </c>
      <c r="B4" s="238"/>
      <c r="C4" s="40" t="s">
        <v>28</v>
      </c>
      <c r="D4" s="40" t="s">
        <v>29</v>
      </c>
      <c r="E4" s="66" t="s">
        <v>30</v>
      </c>
      <c r="F4" s="66"/>
      <c r="G4" s="66"/>
      <c r="H4" s="239" t="s">
        <v>31</v>
      </c>
    </row>
    <row r="5" s="34" customFormat="1" ht="22.95" customHeight="1" spans="1:8">
      <c r="A5" s="72" t="s">
        <v>32</v>
      </c>
      <c r="B5" s="238" t="s">
        <v>33</v>
      </c>
      <c r="C5" s="43"/>
      <c r="D5" s="43"/>
      <c r="E5" s="66" t="s">
        <v>34</v>
      </c>
      <c r="F5" s="73" t="s">
        <v>35</v>
      </c>
      <c r="G5" s="73" t="s">
        <v>36</v>
      </c>
      <c r="H5" s="45"/>
    </row>
    <row r="6" s="34" customFormat="1" spans="1:8">
      <c r="A6" s="50">
        <v>201</v>
      </c>
      <c r="B6" s="240" t="s">
        <v>66</v>
      </c>
      <c r="C6" s="241">
        <f t="shared" ref="C6:H6" si="0">SUM(C7,C19,C28,C39,C50,C61,C72,C80,C89,C102,C111,C122,C134,C141,C149,C155,C162,C169,C176,C183,C190,C198,C204,C210,C217,C232,)</f>
        <v>32367</v>
      </c>
      <c r="D6" s="241">
        <f t="shared" si="0"/>
        <v>27074</v>
      </c>
      <c r="E6" s="241">
        <f t="shared" si="0"/>
        <v>25117</v>
      </c>
      <c r="F6" s="24">
        <f t="shared" ref="F6:F69" si="1">IF(C6&gt;0,E6/C6*100,)</f>
        <v>77.600642629839</v>
      </c>
      <c r="G6" s="24">
        <f t="shared" ref="G6:G69" si="2">IF(D6&gt;0,E6/D6*100,)</f>
        <v>92.7716628499668</v>
      </c>
      <c r="H6" s="241">
        <f t="shared" si="0"/>
        <v>0</v>
      </c>
    </row>
    <row r="7" s="34" customFormat="1" spans="1:8">
      <c r="A7" s="50">
        <v>20101</v>
      </c>
      <c r="B7" s="242" t="s">
        <v>67</v>
      </c>
      <c r="C7" s="241">
        <f t="shared" ref="C7:H7" si="3">SUM(C8:C18)</f>
        <v>693</v>
      </c>
      <c r="D7" s="241">
        <f t="shared" si="3"/>
        <v>897</v>
      </c>
      <c r="E7" s="241">
        <f t="shared" si="3"/>
        <v>799</v>
      </c>
      <c r="F7" s="24">
        <f t="shared" si="1"/>
        <v>115.295815295815</v>
      </c>
      <c r="G7" s="24">
        <f t="shared" si="2"/>
        <v>89.0746934225195</v>
      </c>
      <c r="H7" s="241">
        <f t="shared" si="3"/>
        <v>0</v>
      </c>
    </row>
    <row r="8" s="34" customFormat="1" spans="1:8">
      <c r="A8" s="50">
        <v>2010101</v>
      </c>
      <c r="B8" s="242" t="s">
        <v>68</v>
      </c>
      <c r="C8" s="243">
        <v>407</v>
      </c>
      <c r="D8" s="243">
        <v>393</v>
      </c>
      <c r="E8" s="243">
        <f>285+181</f>
        <v>466</v>
      </c>
      <c r="F8" s="24">
        <f t="shared" si="1"/>
        <v>114.496314496314</v>
      </c>
      <c r="G8" s="24">
        <f t="shared" si="2"/>
        <v>118.575063613232</v>
      </c>
      <c r="H8" s="243"/>
    </row>
    <row r="9" s="34" customFormat="1" spans="1:8">
      <c r="A9" s="50">
        <v>2010102</v>
      </c>
      <c r="B9" s="242" t="s">
        <v>69</v>
      </c>
      <c r="C9" s="243">
        <v>163</v>
      </c>
      <c r="D9" s="243">
        <v>302</v>
      </c>
      <c r="E9" s="243">
        <v>210</v>
      </c>
      <c r="F9" s="24">
        <f t="shared" si="1"/>
        <v>128.834355828221</v>
      </c>
      <c r="G9" s="24">
        <f t="shared" si="2"/>
        <v>69.5364238410596</v>
      </c>
      <c r="H9" s="243"/>
    </row>
    <row r="10" s="34" customFormat="1" spans="1:8">
      <c r="A10" s="50">
        <v>2010103</v>
      </c>
      <c r="B10" s="244" t="s">
        <v>70</v>
      </c>
      <c r="C10" s="243">
        <v>0</v>
      </c>
      <c r="D10" s="243">
        <v>0</v>
      </c>
      <c r="E10" s="243"/>
      <c r="F10" s="24">
        <f t="shared" si="1"/>
        <v>0</v>
      </c>
      <c r="G10" s="24">
        <f t="shared" si="2"/>
        <v>0</v>
      </c>
      <c r="H10" s="243"/>
    </row>
    <row r="11" s="34" customFormat="1" spans="1:8">
      <c r="A11" s="50">
        <v>2010104</v>
      </c>
      <c r="B11" s="244" t="s">
        <v>71</v>
      </c>
      <c r="C11" s="243">
        <v>33</v>
      </c>
      <c r="D11" s="243">
        <v>46</v>
      </c>
      <c r="E11" s="243">
        <v>32</v>
      </c>
      <c r="F11" s="24">
        <f t="shared" si="1"/>
        <v>96.969696969697</v>
      </c>
      <c r="G11" s="24">
        <f t="shared" si="2"/>
        <v>69.5652173913043</v>
      </c>
      <c r="H11" s="243"/>
    </row>
    <row r="12" s="34" customFormat="1" spans="1:8">
      <c r="A12" s="50">
        <v>2010105</v>
      </c>
      <c r="B12" s="244" t="s">
        <v>72</v>
      </c>
      <c r="C12" s="243">
        <v>2</v>
      </c>
      <c r="D12" s="243">
        <v>2</v>
      </c>
      <c r="E12" s="243">
        <v>2</v>
      </c>
      <c r="F12" s="24">
        <f t="shared" si="1"/>
        <v>100</v>
      </c>
      <c r="G12" s="24">
        <f t="shared" si="2"/>
        <v>100</v>
      </c>
      <c r="H12" s="243"/>
    </row>
    <row r="13" s="34" customFormat="1" spans="1:8">
      <c r="A13" s="50">
        <v>2010106</v>
      </c>
      <c r="B13" s="240" t="s">
        <v>73</v>
      </c>
      <c r="C13" s="243">
        <v>0</v>
      </c>
      <c r="D13" s="243">
        <v>0</v>
      </c>
      <c r="E13" s="243"/>
      <c r="F13" s="24">
        <f t="shared" si="1"/>
        <v>0</v>
      </c>
      <c r="G13" s="24">
        <f t="shared" si="2"/>
        <v>0</v>
      </c>
      <c r="H13" s="243"/>
    </row>
    <row r="14" s="34" customFormat="1" spans="1:8">
      <c r="A14" s="50">
        <v>2010107</v>
      </c>
      <c r="B14" s="240" t="s">
        <v>74</v>
      </c>
      <c r="C14" s="243">
        <v>22</v>
      </c>
      <c r="D14" s="243">
        <v>22</v>
      </c>
      <c r="E14" s="243">
        <v>22</v>
      </c>
      <c r="F14" s="24">
        <f t="shared" si="1"/>
        <v>100</v>
      </c>
      <c r="G14" s="24">
        <f t="shared" si="2"/>
        <v>100</v>
      </c>
      <c r="H14" s="243"/>
    </row>
    <row r="15" s="34" customFormat="1" spans="1:8">
      <c r="A15" s="50">
        <v>2010108</v>
      </c>
      <c r="B15" s="240" t="s">
        <v>75</v>
      </c>
      <c r="C15" s="243">
        <v>60</v>
      </c>
      <c r="D15" s="243">
        <v>39</v>
      </c>
      <c r="E15" s="243">
        <v>64</v>
      </c>
      <c r="F15" s="24">
        <f t="shared" si="1"/>
        <v>106.666666666667</v>
      </c>
      <c r="G15" s="24">
        <f t="shared" si="2"/>
        <v>164.102564102564</v>
      </c>
      <c r="H15" s="243"/>
    </row>
    <row r="16" s="34" customFormat="1" spans="1:8">
      <c r="A16" s="50">
        <v>2010109</v>
      </c>
      <c r="B16" s="240" t="s">
        <v>76</v>
      </c>
      <c r="C16" s="243">
        <v>1</v>
      </c>
      <c r="D16" s="243">
        <v>1</v>
      </c>
      <c r="E16" s="243">
        <v>1</v>
      </c>
      <c r="F16" s="24">
        <f t="shared" si="1"/>
        <v>100</v>
      </c>
      <c r="G16" s="24">
        <f t="shared" si="2"/>
        <v>100</v>
      </c>
      <c r="H16" s="243"/>
    </row>
    <row r="17" s="34" customFormat="1" spans="1:8">
      <c r="A17" s="50">
        <v>2010150</v>
      </c>
      <c r="B17" s="240" t="s">
        <v>77</v>
      </c>
      <c r="C17" s="243">
        <v>0</v>
      </c>
      <c r="D17" s="243">
        <v>0</v>
      </c>
      <c r="E17" s="243"/>
      <c r="F17" s="24">
        <f t="shared" si="1"/>
        <v>0</v>
      </c>
      <c r="G17" s="24">
        <f t="shared" si="2"/>
        <v>0</v>
      </c>
      <c r="H17" s="243"/>
    </row>
    <row r="18" s="34" customFormat="1" spans="1:8">
      <c r="A18" s="50">
        <v>2010199</v>
      </c>
      <c r="B18" s="240" t="s">
        <v>78</v>
      </c>
      <c r="C18" s="243">
        <v>5</v>
      </c>
      <c r="D18" s="243">
        <v>92</v>
      </c>
      <c r="E18" s="243">
        <f>1+1</f>
        <v>2</v>
      </c>
      <c r="F18" s="24">
        <f t="shared" si="1"/>
        <v>40</v>
      </c>
      <c r="G18" s="24">
        <f t="shared" si="2"/>
        <v>2.17391304347826</v>
      </c>
      <c r="H18" s="243"/>
    </row>
    <row r="19" s="34" customFormat="1" spans="1:8">
      <c r="A19" s="50">
        <v>20102</v>
      </c>
      <c r="B19" s="242" t="s">
        <v>79</v>
      </c>
      <c r="C19" s="241">
        <f t="shared" ref="C19:H19" si="4">SUM(C20:C27)</f>
        <v>384</v>
      </c>
      <c r="D19" s="241">
        <f t="shared" si="4"/>
        <v>477</v>
      </c>
      <c r="E19" s="241">
        <f t="shared" si="4"/>
        <v>399</v>
      </c>
      <c r="F19" s="24">
        <f t="shared" si="1"/>
        <v>103.90625</v>
      </c>
      <c r="G19" s="24">
        <f t="shared" si="2"/>
        <v>83.6477987421384</v>
      </c>
      <c r="H19" s="241">
        <f t="shared" si="4"/>
        <v>0</v>
      </c>
    </row>
    <row r="20" s="34" customFormat="1" spans="1:8">
      <c r="A20" s="50">
        <v>2010201</v>
      </c>
      <c r="B20" s="242" t="s">
        <v>68</v>
      </c>
      <c r="C20" s="243">
        <v>186</v>
      </c>
      <c r="D20" s="243">
        <v>173</v>
      </c>
      <c r="E20" s="243">
        <v>201</v>
      </c>
      <c r="F20" s="24">
        <f t="shared" si="1"/>
        <v>108.064516129032</v>
      </c>
      <c r="G20" s="24">
        <f t="shared" si="2"/>
        <v>116.184971098266</v>
      </c>
      <c r="H20" s="243"/>
    </row>
    <row r="21" s="34" customFormat="1" spans="1:8">
      <c r="A21" s="50">
        <v>2010202</v>
      </c>
      <c r="B21" s="242" t="s">
        <v>69</v>
      </c>
      <c r="C21" s="243">
        <v>154</v>
      </c>
      <c r="D21" s="243">
        <v>228</v>
      </c>
      <c r="E21" s="243">
        <v>178</v>
      </c>
      <c r="F21" s="24">
        <f t="shared" si="1"/>
        <v>115.584415584416</v>
      </c>
      <c r="G21" s="24">
        <f t="shared" si="2"/>
        <v>78.0701754385965</v>
      </c>
      <c r="H21" s="243"/>
    </row>
    <row r="22" s="34" customFormat="1" spans="1:8">
      <c r="A22" s="50">
        <v>2010203</v>
      </c>
      <c r="B22" s="244" t="s">
        <v>70</v>
      </c>
      <c r="C22" s="243">
        <v>0</v>
      </c>
      <c r="D22" s="243">
        <v>0</v>
      </c>
      <c r="E22" s="243"/>
      <c r="F22" s="24">
        <f t="shared" si="1"/>
        <v>0</v>
      </c>
      <c r="G22" s="24">
        <f t="shared" si="2"/>
        <v>0</v>
      </c>
      <c r="H22" s="243"/>
    </row>
    <row r="23" s="34" customFormat="1" spans="1:8">
      <c r="A23" s="50">
        <v>2010204</v>
      </c>
      <c r="B23" s="244" t="s">
        <v>80</v>
      </c>
      <c r="C23" s="243">
        <v>11</v>
      </c>
      <c r="D23" s="243">
        <v>21</v>
      </c>
      <c r="E23" s="243">
        <v>16</v>
      </c>
      <c r="F23" s="24">
        <f t="shared" si="1"/>
        <v>145.454545454545</v>
      </c>
      <c r="G23" s="24">
        <f t="shared" si="2"/>
        <v>76.1904761904762</v>
      </c>
      <c r="H23" s="243"/>
    </row>
    <row r="24" s="34" customFormat="1" spans="1:8">
      <c r="A24" s="50">
        <v>2010205</v>
      </c>
      <c r="B24" s="244" t="s">
        <v>81</v>
      </c>
      <c r="C24" s="243">
        <v>3</v>
      </c>
      <c r="D24" s="243">
        <v>3</v>
      </c>
      <c r="E24" s="243"/>
      <c r="F24" s="24">
        <f t="shared" si="1"/>
        <v>0</v>
      </c>
      <c r="G24" s="24">
        <f t="shared" si="2"/>
        <v>0</v>
      </c>
      <c r="H24" s="243"/>
    </row>
    <row r="25" s="34" customFormat="1" spans="1:8">
      <c r="A25" s="50">
        <v>2010206</v>
      </c>
      <c r="B25" s="244" t="s">
        <v>82</v>
      </c>
      <c r="C25" s="243">
        <v>0</v>
      </c>
      <c r="D25" s="243">
        <v>0</v>
      </c>
      <c r="E25" s="243"/>
      <c r="F25" s="24">
        <f t="shared" si="1"/>
        <v>0</v>
      </c>
      <c r="G25" s="24">
        <f t="shared" si="2"/>
        <v>0</v>
      </c>
      <c r="H25" s="243"/>
    </row>
    <row r="26" s="34" customFormat="1" spans="1:8">
      <c r="A26" s="50">
        <v>2010250</v>
      </c>
      <c r="B26" s="244" t="s">
        <v>77</v>
      </c>
      <c r="C26" s="243">
        <v>0</v>
      </c>
      <c r="D26" s="243">
        <v>0</v>
      </c>
      <c r="E26" s="243"/>
      <c r="F26" s="24">
        <f t="shared" si="1"/>
        <v>0</v>
      </c>
      <c r="G26" s="24">
        <f t="shared" si="2"/>
        <v>0</v>
      </c>
      <c r="H26" s="243"/>
    </row>
    <row r="27" s="34" customFormat="1" spans="1:8">
      <c r="A27" s="50">
        <v>2010299</v>
      </c>
      <c r="B27" s="244" t="s">
        <v>83</v>
      </c>
      <c r="C27" s="243">
        <v>30</v>
      </c>
      <c r="D27" s="243">
        <v>52</v>
      </c>
      <c r="E27" s="243">
        <v>4</v>
      </c>
      <c r="F27" s="24">
        <f t="shared" si="1"/>
        <v>13.3333333333333</v>
      </c>
      <c r="G27" s="24">
        <f t="shared" si="2"/>
        <v>7.69230769230769</v>
      </c>
      <c r="H27" s="243"/>
    </row>
    <row r="28" s="34" customFormat="1" spans="1:8">
      <c r="A28" s="50">
        <v>20103</v>
      </c>
      <c r="B28" s="242" t="s">
        <v>84</v>
      </c>
      <c r="C28" s="241">
        <f t="shared" ref="C28:H28" si="5">SUM(C29:C38)</f>
        <v>11349</v>
      </c>
      <c r="D28" s="241">
        <f t="shared" si="5"/>
        <v>8505</v>
      </c>
      <c r="E28" s="241">
        <f t="shared" si="5"/>
        <v>12735</v>
      </c>
      <c r="F28" s="24">
        <f t="shared" si="1"/>
        <v>112.212529738303</v>
      </c>
      <c r="G28" s="24">
        <f t="shared" si="2"/>
        <v>149.73544973545</v>
      </c>
      <c r="H28" s="241">
        <f t="shared" si="5"/>
        <v>0</v>
      </c>
    </row>
    <row r="29" s="34" customFormat="1" spans="1:8">
      <c r="A29" s="50">
        <v>2010301</v>
      </c>
      <c r="B29" s="242" t="s">
        <v>68</v>
      </c>
      <c r="C29" s="243">
        <v>2759</v>
      </c>
      <c r="D29" s="243">
        <v>2922</v>
      </c>
      <c r="E29" s="243">
        <f>6203+300</f>
        <v>6503</v>
      </c>
      <c r="F29" s="24">
        <f t="shared" si="1"/>
        <v>235.701341065603</v>
      </c>
      <c r="G29" s="24">
        <f t="shared" si="2"/>
        <v>222.553045859001</v>
      </c>
      <c r="H29" s="243"/>
    </row>
    <row r="30" s="34" customFormat="1" spans="1:8">
      <c r="A30" s="50">
        <v>2010302</v>
      </c>
      <c r="B30" s="242" t="s">
        <v>69</v>
      </c>
      <c r="C30" s="243">
        <v>2645</v>
      </c>
      <c r="D30" s="243">
        <v>2925</v>
      </c>
      <c r="E30" s="243">
        <f>3596+300</f>
        <v>3896</v>
      </c>
      <c r="F30" s="24">
        <f t="shared" si="1"/>
        <v>147.296786389414</v>
      </c>
      <c r="G30" s="24">
        <f t="shared" si="2"/>
        <v>133.196581196581</v>
      </c>
      <c r="H30" s="243"/>
    </row>
    <row r="31" s="34" customFormat="1" spans="1:8">
      <c r="A31" s="50">
        <v>2010303</v>
      </c>
      <c r="B31" s="244" t="s">
        <v>70</v>
      </c>
      <c r="C31" s="243">
        <v>0</v>
      </c>
      <c r="D31" s="243">
        <v>0</v>
      </c>
      <c r="E31" s="243"/>
      <c r="F31" s="24">
        <f t="shared" si="1"/>
        <v>0</v>
      </c>
      <c r="G31" s="24">
        <f t="shared" si="2"/>
        <v>0</v>
      </c>
      <c r="H31" s="243"/>
    </row>
    <row r="32" s="34" customFormat="1" spans="1:8">
      <c r="A32" s="50">
        <v>2010304</v>
      </c>
      <c r="B32" s="244" t="s">
        <v>85</v>
      </c>
      <c r="C32" s="243">
        <v>0</v>
      </c>
      <c r="D32" s="243">
        <v>0</v>
      </c>
      <c r="E32" s="243"/>
      <c r="F32" s="24">
        <f t="shared" si="1"/>
        <v>0</v>
      </c>
      <c r="G32" s="24">
        <f t="shared" si="2"/>
        <v>0</v>
      </c>
      <c r="H32" s="243"/>
    </row>
    <row r="33" s="34" customFormat="1" spans="1:8">
      <c r="A33" s="50">
        <v>2010305</v>
      </c>
      <c r="B33" s="244" t="s">
        <v>86</v>
      </c>
      <c r="C33" s="243">
        <v>0</v>
      </c>
      <c r="D33" s="243">
        <v>0</v>
      </c>
      <c r="E33" s="243"/>
      <c r="F33" s="24">
        <f t="shared" si="1"/>
        <v>0</v>
      </c>
      <c r="G33" s="24">
        <f t="shared" si="2"/>
        <v>0</v>
      </c>
      <c r="H33" s="243"/>
    </row>
    <row r="34" s="34" customFormat="1" spans="1:8">
      <c r="A34" s="50">
        <v>2010306</v>
      </c>
      <c r="B34" s="245" t="s">
        <v>87</v>
      </c>
      <c r="C34" s="243">
        <v>0</v>
      </c>
      <c r="D34" s="243">
        <v>0</v>
      </c>
      <c r="E34" s="243"/>
      <c r="F34" s="24">
        <f t="shared" si="1"/>
        <v>0</v>
      </c>
      <c r="G34" s="24">
        <f t="shared" si="2"/>
        <v>0</v>
      </c>
      <c r="H34" s="243"/>
    </row>
    <row r="35" s="34" customFormat="1" spans="1:8">
      <c r="A35" s="50">
        <v>2010308</v>
      </c>
      <c r="B35" s="242" t="s">
        <v>88</v>
      </c>
      <c r="C35" s="243">
        <v>23</v>
      </c>
      <c r="D35" s="243">
        <v>23</v>
      </c>
      <c r="E35" s="243"/>
      <c r="F35" s="24">
        <f t="shared" si="1"/>
        <v>0</v>
      </c>
      <c r="G35" s="24">
        <f t="shared" si="2"/>
        <v>0</v>
      </c>
      <c r="H35" s="243"/>
    </row>
    <row r="36" s="34" customFormat="1" spans="1:8">
      <c r="A36" s="50">
        <v>2010309</v>
      </c>
      <c r="B36" s="244" t="s">
        <v>89</v>
      </c>
      <c r="C36" s="243">
        <v>0</v>
      </c>
      <c r="D36" s="243">
        <v>0</v>
      </c>
      <c r="E36" s="243"/>
      <c r="F36" s="24">
        <f t="shared" si="1"/>
        <v>0</v>
      </c>
      <c r="G36" s="24">
        <f t="shared" si="2"/>
        <v>0</v>
      </c>
      <c r="H36" s="243"/>
    </row>
    <row r="37" s="34" customFormat="1" spans="1:8">
      <c r="A37" s="50">
        <v>2010350</v>
      </c>
      <c r="B37" s="244" t="s">
        <v>77</v>
      </c>
      <c r="C37" s="243">
        <v>149</v>
      </c>
      <c r="D37" s="243">
        <v>178</v>
      </c>
      <c r="E37" s="243">
        <v>170</v>
      </c>
      <c r="F37" s="24">
        <f t="shared" si="1"/>
        <v>114.093959731544</v>
      </c>
      <c r="G37" s="24">
        <f t="shared" si="2"/>
        <v>95.5056179775281</v>
      </c>
      <c r="H37" s="243"/>
    </row>
    <row r="38" s="34" customFormat="1" spans="1:8">
      <c r="A38" s="50">
        <v>2010399</v>
      </c>
      <c r="B38" s="244" t="s">
        <v>90</v>
      </c>
      <c r="C38" s="243">
        <v>5773</v>
      </c>
      <c r="D38" s="243">
        <v>2457</v>
      </c>
      <c r="E38" s="243">
        <f>1416+750</f>
        <v>2166</v>
      </c>
      <c r="F38" s="24">
        <f t="shared" si="1"/>
        <v>37.519487268318</v>
      </c>
      <c r="G38" s="24">
        <f t="shared" si="2"/>
        <v>88.1562881562882</v>
      </c>
      <c r="H38" s="243"/>
    </row>
    <row r="39" s="34" customFormat="1" spans="1:8">
      <c r="A39" s="50">
        <v>20104</v>
      </c>
      <c r="B39" s="242" t="s">
        <v>91</v>
      </c>
      <c r="C39" s="241">
        <f t="shared" ref="C39:H39" si="6">SUM(C40:C49)</f>
        <v>486</v>
      </c>
      <c r="D39" s="241">
        <f t="shared" si="6"/>
        <v>552</v>
      </c>
      <c r="E39" s="241">
        <f t="shared" si="6"/>
        <v>636</v>
      </c>
      <c r="F39" s="24">
        <f t="shared" si="1"/>
        <v>130.864197530864</v>
      </c>
      <c r="G39" s="24">
        <f t="shared" si="2"/>
        <v>115.217391304348</v>
      </c>
      <c r="H39" s="241">
        <f t="shared" si="6"/>
        <v>0</v>
      </c>
    </row>
    <row r="40" s="34" customFormat="1" spans="1:8">
      <c r="A40" s="50">
        <v>2010401</v>
      </c>
      <c r="B40" s="242" t="s">
        <v>68</v>
      </c>
      <c r="C40" s="243">
        <v>376</v>
      </c>
      <c r="D40" s="243">
        <v>448</v>
      </c>
      <c r="E40" s="243">
        <v>460</v>
      </c>
      <c r="F40" s="24">
        <f t="shared" si="1"/>
        <v>122.340425531915</v>
      </c>
      <c r="G40" s="24">
        <f t="shared" si="2"/>
        <v>102.678571428571</v>
      </c>
      <c r="H40" s="243"/>
    </row>
    <row r="41" s="34" customFormat="1" spans="1:8">
      <c r="A41" s="50">
        <v>2010402</v>
      </c>
      <c r="B41" s="242" t="s">
        <v>69</v>
      </c>
      <c r="C41" s="243">
        <v>95</v>
      </c>
      <c r="D41" s="243">
        <v>89</v>
      </c>
      <c r="E41" s="243">
        <v>164</v>
      </c>
      <c r="F41" s="24">
        <f t="shared" si="1"/>
        <v>172.631578947368</v>
      </c>
      <c r="G41" s="24">
        <f t="shared" si="2"/>
        <v>184.269662921348</v>
      </c>
      <c r="H41" s="243"/>
    </row>
    <row r="42" s="34" customFormat="1" spans="1:8">
      <c r="A42" s="50">
        <v>2010403</v>
      </c>
      <c r="B42" s="244" t="s">
        <v>70</v>
      </c>
      <c r="C42" s="243">
        <v>0</v>
      </c>
      <c r="D42" s="243">
        <v>0</v>
      </c>
      <c r="E42" s="243"/>
      <c r="F42" s="24">
        <f t="shared" si="1"/>
        <v>0</v>
      </c>
      <c r="G42" s="24">
        <f t="shared" si="2"/>
        <v>0</v>
      </c>
      <c r="H42" s="243"/>
    </row>
    <row r="43" s="34" customFormat="1" spans="1:8">
      <c r="A43" s="50">
        <v>2010404</v>
      </c>
      <c r="B43" s="244" t="s">
        <v>92</v>
      </c>
      <c r="C43" s="243">
        <v>0</v>
      </c>
      <c r="D43" s="243">
        <v>0</v>
      </c>
      <c r="E43" s="243"/>
      <c r="F43" s="24">
        <f t="shared" si="1"/>
        <v>0</v>
      </c>
      <c r="G43" s="24">
        <f t="shared" si="2"/>
        <v>0</v>
      </c>
      <c r="H43" s="243"/>
    </row>
    <row r="44" s="34" customFormat="1" spans="1:8">
      <c r="A44" s="50">
        <v>2010405</v>
      </c>
      <c r="B44" s="244" t="s">
        <v>93</v>
      </c>
      <c r="C44" s="243">
        <v>0</v>
      </c>
      <c r="D44" s="243">
        <v>0</v>
      </c>
      <c r="E44" s="243"/>
      <c r="F44" s="24">
        <f t="shared" si="1"/>
        <v>0</v>
      </c>
      <c r="G44" s="24">
        <f t="shared" si="2"/>
        <v>0</v>
      </c>
      <c r="H44" s="243"/>
    </row>
    <row r="45" s="34" customFormat="1" spans="1:8">
      <c r="A45" s="50">
        <v>2010406</v>
      </c>
      <c r="B45" s="242" t="s">
        <v>94</v>
      </c>
      <c r="C45" s="243">
        <v>0</v>
      </c>
      <c r="D45" s="243">
        <v>0</v>
      </c>
      <c r="E45" s="243"/>
      <c r="F45" s="24">
        <f t="shared" si="1"/>
        <v>0</v>
      </c>
      <c r="G45" s="24">
        <f t="shared" si="2"/>
        <v>0</v>
      </c>
      <c r="H45" s="243"/>
    </row>
    <row r="46" s="34" customFormat="1" spans="1:8">
      <c r="A46" s="50">
        <v>2010407</v>
      </c>
      <c r="B46" s="242" t="s">
        <v>95</v>
      </c>
      <c r="C46" s="243">
        <v>0</v>
      </c>
      <c r="D46" s="243">
        <v>0</v>
      </c>
      <c r="E46" s="243"/>
      <c r="F46" s="24">
        <f t="shared" si="1"/>
        <v>0</v>
      </c>
      <c r="G46" s="24">
        <f t="shared" si="2"/>
        <v>0</v>
      </c>
      <c r="H46" s="243"/>
    </row>
    <row r="47" s="34" customFormat="1" spans="1:8">
      <c r="A47" s="50">
        <v>2010408</v>
      </c>
      <c r="B47" s="242" t="s">
        <v>96</v>
      </c>
      <c r="C47" s="243">
        <v>0</v>
      </c>
      <c r="D47" s="243">
        <v>0</v>
      </c>
      <c r="E47" s="243"/>
      <c r="F47" s="24">
        <f t="shared" si="1"/>
        <v>0</v>
      </c>
      <c r="G47" s="24">
        <f t="shared" si="2"/>
        <v>0</v>
      </c>
      <c r="H47" s="243"/>
    </row>
    <row r="48" s="34" customFormat="1" spans="1:8">
      <c r="A48" s="50">
        <v>2010450</v>
      </c>
      <c r="B48" s="242" t="s">
        <v>77</v>
      </c>
      <c r="C48" s="243">
        <v>15</v>
      </c>
      <c r="D48" s="243">
        <v>13</v>
      </c>
      <c r="E48" s="243">
        <v>12</v>
      </c>
      <c r="F48" s="24">
        <f t="shared" si="1"/>
        <v>80</v>
      </c>
      <c r="G48" s="24">
        <f t="shared" si="2"/>
        <v>92.3076923076923</v>
      </c>
      <c r="H48" s="243"/>
    </row>
    <row r="49" s="34" customFormat="1" spans="1:8">
      <c r="A49" s="50">
        <v>2010499</v>
      </c>
      <c r="B49" s="244" t="s">
        <v>97</v>
      </c>
      <c r="C49" s="243">
        <v>0</v>
      </c>
      <c r="D49" s="243">
        <v>2</v>
      </c>
      <c r="E49" s="243"/>
      <c r="F49" s="24">
        <f t="shared" si="1"/>
        <v>0</v>
      </c>
      <c r="G49" s="24">
        <f t="shared" si="2"/>
        <v>0</v>
      </c>
      <c r="H49" s="243"/>
    </row>
    <row r="50" s="34" customFormat="1" spans="1:8">
      <c r="A50" s="50">
        <v>20105</v>
      </c>
      <c r="B50" s="244" t="s">
        <v>98</v>
      </c>
      <c r="C50" s="241">
        <f t="shared" ref="C50:H50" si="7">SUM(C51:C60)</f>
        <v>355</v>
      </c>
      <c r="D50" s="241">
        <f t="shared" si="7"/>
        <v>345</v>
      </c>
      <c r="E50" s="241">
        <f t="shared" si="7"/>
        <v>410</v>
      </c>
      <c r="F50" s="24">
        <f t="shared" si="1"/>
        <v>115.492957746479</v>
      </c>
      <c r="G50" s="24">
        <f t="shared" si="2"/>
        <v>118.840579710145</v>
      </c>
      <c r="H50" s="241">
        <f t="shared" si="7"/>
        <v>0</v>
      </c>
    </row>
    <row r="51" s="34" customFormat="1" spans="1:8">
      <c r="A51" s="50">
        <v>2010501</v>
      </c>
      <c r="B51" s="244" t="s">
        <v>68</v>
      </c>
      <c r="C51" s="243">
        <v>142</v>
      </c>
      <c r="D51" s="243">
        <v>142</v>
      </c>
      <c r="E51" s="243">
        <v>148</v>
      </c>
      <c r="F51" s="24">
        <f t="shared" si="1"/>
        <v>104.225352112676</v>
      </c>
      <c r="G51" s="24">
        <f t="shared" si="2"/>
        <v>104.225352112676</v>
      </c>
      <c r="H51" s="243"/>
    </row>
    <row r="52" s="34" customFormat="1" spans="1:8">
      <c r="A52" s="50">
        <v>2010502</v>
      </c>
      <c r="B52" s="240" t="s">
        <v>69</v>
      </c>
      <c r="C52" s="243">
        <v>77</v>
      </c>
      <c r="D52" s="243">
        <v>117</v>
      </c>
      <c r="E52" s="243">
        <v>226</v>
      </c>
      <c r="F52" s="24">
        <f t="shared" si="1"/>
        <v>293.506493506493</v>
      </c>
      <c r="G52" s="24">
        <f t="shared" si="2"/>
        <v>193.162393162393</v>
      </c>
      <c r="H52" s="243"/>
    </row>
    <row r="53" s="34" customFormat="1" spans="1:8">
      <c r="A53" s="50">
        <v>2010503</v>
      </c>
      <c r="B53" s="242" t="s">
        <v>70</v>
      </c>
      <c r="C53" s="243">
        <v>0</v>
      </c>
      <c r="D53" s="243">
        <v>0</v>
      </c>
      <c r="E53" s="243"/>
      <c r="F53" s="24">
        <f t="shared" si="1"/>
        <v>0</v>
      </c>
      <c r="G53" s="24">
        <f t="shared" si="2"/>
        <v>0</v>
      </c>
      <c r="H53" s="243"/>
    </row>
    <row r="54" s="34" customFormat="1" spans="1:8">
      <c r="A54" s="50">
        <v>2010504</v>
      </c>
      <c r="B54" s="242" t="s">
        <v>99</v>
      </c>
      <c r="C54" s="243">
        <v>5</v>
      </c>
      <c r="D54" s="243">
        <v>4</v>
      </c>
      <c r="E54" s="243"/>
      <c r="F54" s="24">
        <f t="shared" si="1"/>
        <v>0</v>
      </c>
      <c r="G54" s="24">
        <f t="shared" si="2"/>
        <v>0</v>
      </c>
      <c r="H54" s="243"/>
    </row>
    <row r="55" s="34" customFormat="1" spans="1:8">
      <c r="A55" s="50">
        <v>2010505</v>
      </c>
      <c r="B55" s="242" t="s">
        <v>100</v>
      </c>
      <c r="C55" s="243">
        <v>0</v>
      </c>
      <c r="D55" s="243">
        <v>0</v>
      </c>
      <c r="E55" s="243"/>
      <c r="F55" s="24">
        <f t="shared" si="1"/>
        <v>0</v>
      </c>
      <c r="G55" s="24">
        <f t="shared" si="2"/>
        <v>0</v>
      </c>
      <c r="H55" s="243"/>
    </row>
    <row r="56" s="34" customFormat="1" spans="1:8">
      <c r="A56" s="50">
        <v>2010506</v>
      </c>
      <c r="B56" s="244" t="s">
        <v>101</v>
      </c>
      <c r="C56" s="243">
        <v>97</v>
      </c>
      <c r="D56" s="243">
        <v>49</v>
      </c>
      <c r="E56" s="243"/>
      <c r="F56" s="24">
        <f t="shared" si="1"/>
        <v>0</v>
      </c>
      <c r="G56" s="24">
        <f t="shared" si="2"/>
        <v>0</v>
      </c>
      <c r="H56" s="243"/>
    </row>
    <row r="57" s="34" customFormat="1" spans="1:8">
      <c r="A57" s="50">
        <v>2010507</v>
      </c>
      <c r="B57" s="244" t="s">
        <v>102</v>
      </c>
      <c r="C57" s="243">
        <v>0</v>
      </c>
      <c r="D57" s="243">
        <v>0</v>
      </c>
      <c r="E57" s="243"/>
      <c r="F57" s="24">
        <f t="shared" si="1"/>
        <v>0</v>
      </c>
      <c r="G57" s="24">
        <f t="shared" si="2"/>
        <v>0</v>
      </c>
      <c r="H57" s="243"/>
    </row>
    <row r="58" s="34" customFormat="1" spans="1:8">
      <c r="A58" s="50">
        <v>2010508</v>
      </c>
      <c r="B58" s="244" t="s">
        <v>103</v>
      </c>
      <c r="C58" s="243">
        <v>33</v>
      </c>
      <c r="D58" s="243">
        <v>32</v>
      </c>
      <c r="E58" s="243">
        <v>35</v>
      </c>
      <c r="F58" s="24">
        <f t="shared" si="1"/>
        <v>106.060606060606</v>
      </c>
      <c r="G58" s="24">
        <f t="shared" si="2"/>
        <v>109.375</v>
      </c>
      <c r="H58" s="243"/>
    </row>
    <row r="59" s="34" customFormat="1" spans="1:8">
      <c r="A59" s="50">
        <v>2010550</v>
      </c>
      <c r="B59" s="242" t="s">
        <v>77</v>
      </c>
      <c r="C59" s="243">
        <v>0</v>
      </c>
      <c r="D59" s="243">
        <v>0</v>
      </c>
      <c r="E59" s="243"/>
      <c r="F59" s="24">
        <f t="shared" si="1"/>
        <v>0</v>
      </c>
      <c r="G59" s="24">
        <f t="shared" si="2"/>
        <v>0</v>
      </c>
      <c r="H59" s="243"/>
    </row>
    <row r="60" s="34" customFormat="1" spans="1:8">
      <c r="A60" s="50">
        <v>2010599</v>
      </c>
      <c r="B60" s="244" t="s">
        <v>104</v>
      </c>
      <c r="C60" s="243">
        <v>1</v>
      </c>
      <c r="D60" s="243">
        <v>1</v>
      </c>
      <c r="E60" s="243">
        <v>1</v>
      </c>
      <c r="F60" s="24">
        <f t="shared" si="1"/>
        <v>100</v>
      </c>
      <c r="G60" s="24">
        <f t="shared" si="2"/>
        <v>100</v>
      </c>
      <c r="H60" s="243"/>
    </row>
    <row r="61" s="34" customFormat="1" spans="1:8">
      <c r="A61" s="50">
        <v>20106</v>
      </c>
      <c r="B61" s="245" t="s">
        <v>105</v>
      </c>
      <c r="C61" s="241">
        <f t="shared" ref="C61:H61" si="8">SUM(C62:C71)</f>
        <v>1141</v>
      </c>
      <c r="D61" s="241">
        <f t="shared" si="8"/>
        <v>1070</v>
      </c>
      <c r="E61" s="241">
        <f t="shared" si="8"/>
        <v>1330</v>
      </c>
      <c r="F61" s="24">
        <f t="shared" si="1"/>
        <v>116.564417177914</v>
      </c>
      <c r="G61" s="24">
        <f t="shared" si="2"/>
        <v>124.299065420561</v>
      </c>
      <c r="H61" s="241">
        <f t="shared" si="8"/>
        <v>0</v>
      </c>
    </row>
    <row r="62" s="34" customFormat="1" spans="1:8">
      <c r="A62" s="50">
        <v>2010601</v>
      </c>
      <c r="B62" s="244" t="s">
        <v>68</v>
      </c>
      <c r="C62" s="243">
        <v>475</v>
      </c>
      <c r="D62" s="243">
        <v>478</v>
      </c>
      <c r="E62" s="243">
        <v>499</v>
      </c>
      <c r="F62" s="24">
        <f t="shared" si="1"/>
        <v>105.052631578947</v>
      </c>
      <c r="G62" s="24">
        <f t="shared" si="2"/>
        <v>104.393305439331</v>
      </c>
      <c r="H62" s="243"/>
    </row>
    <row r="63" s="34" customFormat="1" spans="1:8">
      <c r="A63" s="50">
        <v>2010602</v>
      </c>
      <c r="B63" s="240" t="s">
        <v>69</v>
      </c>
      <c r="C63" s="243">
        <v>128</v>
      </c>
      <c r="D63" s="243">
        <v>110</v>
      </c>
      <c r="E63" s="243">
        <v>218</v>
      </c>
      <c r="F63" s="24">
        <f t="shared" si="1"/>
        <v>170.3125</v>
      </c>
      <c r="G63" s="24">
        <f t="shared" si="2"/>
        <v>198.181818181818</v>
      </c>
      <c r="H63" s="243"/>
    </row>
    <row r="64" s="34" customFormat="1" spans="1:8">
      <c r="A64" s="50">
        <v>2010603</v>
      </c>
      <c r="B64" s="240" t="s">
        <v>70</v>
      </c>
      <c r="C64" s="243">
        <v>0</v>
      </c>
      <c r="D64" s="243">
        <v>0</v>
      </c>
      <c r="E64" s="243"/>
      <c r="F64" s="24">
        <f t="shared" si="1"/>
        <v>0</v>
      </c>
      <c r="G64" s="24">
        <f t="shared" si="2"/>
        <v>0</v>
      </c>
      <c r="H64" s="243"/>
    </row>
    <row r="65" s="34" customFormat="1" spans="1:8">
      <c r="A65" s="50">
        <v>2010604</v>
      </c>
      <c r="B65" s="240" t="s">
        <v>106</v>
      </c>
      <c r="C65" s="243">
        <v>0</v>
      </c>
      <c r="D65" s="243">
        <v>0</v>
      </c>
      <c r="E65" s="243"/>
      <c r="F65" s="24">
        <f t="shared" si="1"/>
        <v>0</v>
      </c>
      <c r="G65" s="24">
        <f t="shared" si="2"/>
        <v>0</v>
      </c>
      <c r="H65" s="243"/>
    </row>
    <row r="66" s="34" customFormat="1" spans="1:8">
      <c r="A66" s="50">
        <v>2010605</v>
      </c>
      <c r="B66" s="240" t="s">
        <v>107</v>
      </c>
      <c r="C66" s="243">
        <v>0</v>
      </c>
      <c r="D66" s="243">
        <v>0</v>
      </c>
      <c r="E66" s="243"/>
      <c r="F66" s="24">
        <f t="shared" si="1"/>
        <v>0</v>
      </c>
      <c r="G66" s="24">
        <f t="shared" si="2"/>
        <v>0</v>
      </c>
      <c r="H66" s="243"/>
    </row>
    <row r="67" s="34" customFormat="1" spans="1:8">
      <c r="A67" s="50">
        <v>2010606</v>
      </c>
      <c r="B67" s="240" t="s">
        <v>108</v>
      </c>
      <c r="C67" s="243">
        <v>0</v>
      </c>
      <c r="D67" s="243">
        <v>0</v>
      </c>
      <c r="E67" s="243"/>
      <c r="F67" s="24">
        <f t="shared" si="1"/>
        <v>0</v>
      </c>
      <c r="G67" s="24">
        <f t="shared" si="2"/>
        <v>0</v>
      </c>
      <c r="H67" s="243"/>
    </row>
    <row r="68" s="34" customFormat="1" spans="1:8">
      <c r="A68" s="50">
        <v>2010607</v>
      </c>
      <c r="B68" s="242" t="s">
        <v>109</v>
      </c>
      <c r="C68" s="243">
        <v>93</v>
      </c>
      <c r="D68" s="243">
        <v>27</v>
      </c>
      <c r="E68" s="243">
        <v>113</v>
      </c>
      <c r="F68" s="24">
        <f t="shared" si="1"/>
        <v>121.505376344086</v>
      </c>
      <c r="G68" s="24">
        <f t="shared" si="2"/>
        <v>418.518518518519</v>
      </c>
      <c r="H68" s="243"/>
    </row>
    <row r="69" s="34" customFormat="1" spans="1:8">
      <c r="A69" s="50">
        <v>2010608</v>
      </c>
      <c r="B69" s="244" t="s">
        <v>110</v>
      </c>
      <c r="C69" s="243">
        <v>0</v>
      </c>
      <c r="D69" s="243">
        <v>0</v>
      </c>
      <c r="E69" s="243"/>
      <c r="F69" s="24">
        <f t="shared" si="1"/>
        <v>0</v>
      </c>
      <c r="G69" s="24">
        <f t="shared" si="2"/>
        <v>0</v>
      </c>
      <c r="H69" s="243"/>
    </row>
    <row r="70" s="34" customFormat="1" spans="1:8">
      <c r="A70" s="50">
        <v>2010650</v>
      </c>
      <c r="B70" s="244" t="s">
        <v>77</v>
      </c>
      <c r="C70" s="243">
        <v>0</v>
      </c>
      <c r="D70" s="243">
        <v>0</v>
      </c>
      <c r="E70" s="243"/>
      <c r="F70" s="24">
        <f t="shared" ref="F70:F133" si="9">IF(C70&gt;0,E70/C70*100,)</f>
        <v>0</v>
      </c>
      <c r="G70" s="24">
        <f t="shared" ref="G70:G133" si="10">IF(D70&gt;0,E70/D70*100,)</f>
        <v>0</v>
      </c>
      <c r="H70" s="243"/>
    </row>
    <row r="71" s="34" customFormat="1" spans="1:8">
      <c r="A71" s="50">
        <v>2010699</v>
      </c>
      <c r="B71" s="244" t="s">
        <v>111</v>
      </c>
      <c r="C71" s="243">
        <v>445</v>
      </c>
      <c r="D71" s="243">
        <v>455</v>
      </c>
      <c r="E71" s="243">
        <v>500</v>
      </c>
      <c r="F71" s="24">
        <f t="shared" si="9"/>
        <v>112.359550561798</v>
      </c>
      <c r="G71" s="24">
        <f t="shared" si="10"/>
        <v>109.89010989011</v>
      </c>
      <c r="H71" s="243"/>
    </row>
    <row r="72" s="34" customFormat="1" spans="1:8">
      <c r="A72" s="50">
        <v>20107</v>
      </c>
      <c r="B72" s="242" t="s">
        <v>112</v>
      </c>
      <c r="C72" s="241">
        <f t="shared" ref="C72:H72" si="11">SUM(C73:C79)</f>
        <v>773</v>
      </c>
      <c r="D72" s="241">
        <f t="shared" si="11"/>
        <v>297</v>
      </c>
      <c r="E72" s="241">
        <f t="shared" si="11"/>
        <v>828</v>
      </c>
      <c r="F72" s="24">
        <f t="shared" si="9"/>
        <v>107.115135834411</v>
      </c>
      <c r="G72" s="24">
        <f t="shared" si="10"/>
        <v>278.787878787879</v>
      </c>
      <c r="H72" s="241">
        <f t="shared" si="11"/>
        <v>0</v>
      </c>
    </row>
    <row r="73" s="34" customFormat="1" spans="1:8">
      <c r="A73" s="50">
        <v>2010701</v>
      </c>
      <c r="B73" s="242" t="s">
        <v>68</v>
      </c>
      <c r="C73" s="243">
        <v>0</v>
      </c>
      <c r="D73" s="243">
        <v>0</v>
      </c>
      <c r="E73" s="243"/>
      <c r="F73" s="24">
        <f t="shared" si="9"/>
        <v>0</v>
      </c>
      <c r="G73" s="24">
        <f t="shared" si="10"/>
        <v>0</v>
      </c>
      <c r="H73" s="243"/>
    </row>
    <row r="74" s="34" customFormat="1" spans="1:8">
      <c r="A74" s="50">
        <v>2010702</v>
      </c>
      <c r="B74" s="242" t="s">
        <v>69</v>
      </c>
      <c r="C74" s="243">
        <v>208</v>
      </c>
      <c r="D74" s="243">
        <v>78</v>
      </c>
      <c r="E74" s="243">
        <f>82+180</f>
        <v>262</v>
      </c>
      <c r="F74" s="24">
        <f t="shared" si="9"/>
        <v>125.961538461538</v>
      </c>
      <c r="G74" s="24">
        <f t="shared" si="10"/>
        <v>335.897435897436</v>
      </c>
      <c r="H74" s="243"/>
    </row>
    <row r="75" s="34" customFormat="1" spans="1:8">
      <c r="A75" s="50">
        <v>2010703</v>
      </c>
      <c r="B75" s="244" t="s">
        <v>70</v>
      </c>
      <c r="C75" s="243">
        <v>0</v>
      </c>
      <c r="D75" s="243">
        <v>0</v>
      </c>
      <c r="E75" s="243"/>
      <c r="F75" s="24">
        <f t="shared" si="9"/>
        <v>0</v>
      </c>
      <c r="G75" s="24">
        <f t="shared" si="10"/>
        <v>0</v>
      </c>
      <c r="H75" s="243"/>
    </row>
    <row r="76" s="34" customFormat="1" spans="1:8">
      <c r="A76" s="50">
        <v>2010709</v>
      </c>
      <c r="B76" s="242" t="s">
        <v>109</v>
      </c>
      <c r="C76" s="246">
        <v>0</v>
      </c>
      <c r="D76" s="246">
        <v>0</v>
      </c>
      <c r="E76" s="246"/>
      <c r="F76" s="24">
        <f t="shared" si="9"/>
        <v>0</v>
      </c>
      <c r="G76" s="24">
        <f t="shared" si="10"/>
        <v>0</v>
      </c>
      <c r="H76" s="246"/>
    </row>
    <row r="77" s="34" customFormat="1" spans="1:8">
      <c r="A77" s="50">
        <v>2010710</v>
      </c>
      <c r="B77" s="244" t="s">
        <v>113</v>
      </c>
      <c r="C77" s="243">
        <v>230</v>
      </c>
      <c r="D77" s="243">
        <v>60</v>
      </c>
      <c r="E77" s="243">
        <f>83+120</f>
        <v>203</v>
      </c>
      <c r="F77" s="24">
        <f t="shared" si="9"/>
        <v>88.2608695652174</v>
      </c>
      <c r="G77" s="24">
        <f t="shared" si="10"/>
        <v>338.333333333333</v>
      </c>
      <c r="H77" s="243"/>
    </row>
    <row r="78" s="34" customFormat="1" spans="1:8">
      <c r="A78" s="50">
        <v>2010750</v>
      </c>
      <c r="B78" s="244" t="s">
        <v>77</v>
      </c>
      <c r="C78" s="243">
        <v>0</v>
      </c>
      <c r="D78" s="243">
        <v>0</v>
      </c>
      <c r="E78" s="243"/>
      <c r="F78" s="24">
        <f t="shared" si="9"/>
        <v>0</v>
      </c>
      <c r="G78" s="24">
        <f t="shared" si="10"/>
        <v>0</v>
      </c>
      <c r="H78" s="243"/>
    </row>
    <row r="79" s="34" customFormat="1" spans="1:8">
      <c r="A79" s="50">
        <v>2010799</v>
      </c>
      <c r="B79" s="244" t="s">
        <v>114</v>
      </c>
      <c r="C79" s="243">
        <v>335</v>
      </c>
      <c r="D79" s="243">
        <v>159</v>
      </c>
      <c r="E79" s="243">
        <v>363</v>
      </c>
      <c r="F79" s="24">
        <f t="shared" si="9"/>
        <v>108.358208955224</v>
      </c>
      <c r="G79" s="24">
        <f t="shared" si="10"/>
        <v>228.301886792453</v>
      </c>
      <c r="H79" s="243"/>
    </row>
    <row r="80" s="34" customFormat="1" spans="1:8">
      <c r="A80" s="50">
        <v>20108</v>
      </c>
      <c r="B80" s="244" t="s">
        <v>115</v>
      </c>
      <c r="C80" s="241">
        <f t="shared" ref="C80:H80" si="12">SUM(C81:C88)</f>
        <v>230</v>
      </c>
      <c r="D80" s="241">
        <f t="shared" si="12"/>
        <v>217</v>
      </c>
      <c r="E80" s="241">
        <f t="shared" si="12"/>
        <v>232</v>
      </c>
      <c r="F80" s="24">
        <f t="shared" si="9"/>
        <v>100.869565217391</v>
      </c>
      <c r="G80" s="24">
        <f t="shared" si="10"/>
        <v>106.912442396313</v>
      </c>
      <c r="H80" s="241">
        <f t="shared" si="12"/>
        <v>0</v>
      </c>
    </row>
    <row r="81" s="34" customFormat="1" spans="1:8">
      <c r="A81" s="50">
        <v>2010801</v>
      </c>
      <c r="B81" s="242" t="s">
        <v>68</v>
      </c>
      <c r="C81" s="243">
        <v>139</v>
      </c>
      <c r="D81" s="243">
        <v>140</v>
      </c>
      <c r="E81" s="243">
        <v>138</v>
      </c>
      <c r="F81" s="24">
        <f t="shared" si="9"/>
        <v>99.2805755395683</v>
      </c>
      <c r="G81" s="24">
        <f t="shared" si="10"/>
        <v>98.5714285714286</v>
      </c>
      <c r="H81" s="243"/>
    </row>
    <row r="82" s="34" customFormat="1" spans="1:8">
      <c r="A82" s="50">
        <v>2010802</v>
      </c>
      <c r="B82" s="242" t="s">
        <v>69</v>
      </c>
      <c r="C82" s="243">
        <v>17</v>
      </c>
      <c r="D82" s="243">
        <v>9</v>
      </c>
      <c r="E82" s="243">
        <v>44</v>
      </c>
      <c r="F82" s="24">
        <f t="shared" si="9"/>
        <v>258.823529411765</v>
      </c>
      <c r="G82" s="24">
        <f t="shared" si="10"/>
        <v>488.888888888889</v>
      </c>
      <c r="H82" s="243"/>
    </row>
    <row r="83" s="34" customFormat="1" spans="1:8">
      <c r="A83" s="50">
        <v>2010803</v>
      </c>
      <c r="B83" s="242" t="s">
        <v>70</v>
      </c>
      <c r="C83" s="243">
        <v>0</v>
      </c>
      <c r="D83" s="243">
        <v>0</v>
      </c>
      <c r="E83" s="243"/>
      <c r="F83" s="24">
        <f t="shared" si="9"/>
        <v>0</v>
      </c>
      <c r="G83" s="24">
        <f t="shared" si="10"/>
        <v>0</v>
      </c>
      <c r="H83" s="243"/>
    </row>
    <row r="84" s="34" customFormat="1" spans="1:8">
      <c r="A84" s="50">
        <v>2010804</v>
      </c>
      <c r="B84" s="247" t="s">
        <v>116</v>
      </c>
      <c r="C84" s="243">
        <v>69</v>
      </c>
      <c r="D84" s="243">
        <v>64</v>
      </c>
      <c r="E84" s="243">
        <v>43</v>
      </c>
      <c r="F84" s="24">
        <f t="shared" si="9"/>
        <v>62.3188405797101</v>
      </c>
      <c r="G84" s="24">
        <f t="shared" si="10"/>
        <v>67.1875</v>
      </c>
      <c r="H84" s="243"/>
    </row>
    <row r="85" s="34" customFormat="1" spans="1:8">
      <c r="A85" s="50">
        <v>2010805</v>
      </c>
      <c r="B85" s="244" t="s">
        <v>117</v>
      </c>
      <c r="C85" s="243">
        <v>0</v>
      </c>
      <c r="D85" s="243">
        <v>0</v>
      </c>
      <c r="E85" s="243"/>
      <c r="F85" s="24">
        <f t="shared" si="9"/>
        <v>0</v>
      </c>
      <c r="G85" s="24">
        <f t="shared" si="10"/>
        <v>0</v>
      </c>
      <c r="H85" s="243"/>
    </row>
    <row r="86" s="34" customFormat="1" spans="1:8">
      <c r="A86" s="50">
        <v>2010806</v>
      </c>
      <c r="B86" s="244" t="s">
        <v>109</v>
      </c>
      <c r="C86" s="243">
        <v>2</v>
      </c>
      <c r="D86" s="243">
        <v>1</v>
      </c>
      <c r="E86" s="243">
        <v>2</v>
      </c>
      <c r="F86" s="24">
        <f t="shared" si="9"/>
        <v>100</v>
      </c>
      <c r="G86" s="24">
        <f t="shared" si="10"/>
        <v>200</v>
      </c>
      <c r="H86" s="243"/>
    </row>
    <row r="87" s="34" customFormat="1" spans="1:8">
      <c r="A87" s="50">
        <v>2010850</v>
      </c>
      <c r="B87" s="244" t="s">
        <v>77</v>
      </c>
      <c r="C87" s="243">
        <v>0</v>
      </c>
      <c r="D87" s="243">
        <v>0</v>
      </c>
      <c r="E87" s="243"/>
      <c r="F87" s="24">
        <f t="shared" si="9"/>
        <v>0</v>
      </c>
      <c r="G87" s="24">
        <f t="shared" si="10"/>
        <v>0</v>
      </c>
      <c r="H87" s="243"/>
    </row>
    <row r="88" s="34" customFormat="1" spans="1:8">
      <c r="A88" s="50">
        <v>2010899</v>
      </c>
      <c r="B88" s="240" t="s">
        <v>118</v>
      </c>
      <c r="C88" s="243">
        <v>3</v>
      </c>
      <c r="D88" s="243">
        <v>3</v>
      </c>
      <c r="E88" s="243">
        <v>5</v>
      </c>
      <c r="F88" s="24">
        <f t="shared" si="9"/>
        <v>166.666666666667</v>
      </c>
      <c r="G88" s="24">
        <f t="shared" si="10"/>
        <v>166.666666666667</v>
      </c>
      <c r="H88" s="243"/>
    </row>
    <row r="89" s="34" customFormat="1" spans="1:8">
      <c r="A89" s="50">
        <v>20109</v>
      </c>
      <c r="B89" s="242" t="s">
        <v>119</v>
      </c>
      <c r="C89" s="241">
        <f t="shared" ref="C89:H89" si="13">SUM(C90:C101)</f>
        <v>0</v>
      </c>
      <c r="D89" s="241">
        <f t="shared" si="13"/>
        <v>0</v>
      </c>
      <c r="E89" s="241">
        <f t="shared" si="13"/>
        <v>0</v>
      </c>
      <c r="F89" s="24">
        <f t="shared" si="9"/>
        <v>0</v>
      </c>
      <c r="G89" s="24">
        <f t="shared" si="10"/>
        <v>0</v>
      </c>
      <c r="H89" s="241">
        <f t="shared" si="13"/>
        <v>0</v>
      </c>
    </row>
    <row r="90" s="34" customFormat="1" spans="1:8">
      <c r="A90" s="50">
        <v>2010901</v>
      </c>
      <c r="B90" s="242" t="s">
        <v>68</v>
      </c>
      <c r="C90" s="243"/>
      <c r="D90" s="243"/>
      <c r="E90" s="243"/>
      <c r="F90" s="24">
        <f t="shared" si="9"/>
        <v>0</v>
      </c>
      <c r="G90" s="24">
        <f t="shared" si="10"/>
        <v>0</v>
      </c>
      <c r="H90" s="243"/>
    </row>
    <row r="91" s="34" customFormat="1" spans="1:8">
      <c r="A91" s="50">
        <v>2010902</v>
      </c>
      <c r="B91" s="244" t="s">
        <v>69</v>
      </c>
      <c r="C91" s="243"/>
      <c r="D91" s="243"/>
      <c r="E91" s="243"/>
      <c r="F91" s="24">
        <f t="shared" si="9"/>
        <v>0</v>
      </c>
      <c r="G91" s="24">
        <f t="shared" si="10"/>
        <v>0</v>
      </c>
      <c r="H91" s="243"/>
    </row>
    <row r="92" s="34" customFormat="1" spans="1:8">
      <c r="A92" s="50">
        <v>2010903</v>
      </c>
      <c r="B92" s="244" t="s">
        <v>70</v>
      </c>
      <c r="C92" s="243"/>
      <c r="D92" s="243"/>
      <c r="E92" s="243"/>
      <c r="F92" s="24">
        <f t="shared" si="9"/>
        <v>0</v>
      </c>
      <c r="G92" s="24">
        <f t="shared" si="10"/>
        <v>0</v>
      </c>
      <c r="H92" s="243"/>
    </row>
    <row r="93" s="34" customFormat="1" spans="1:8">
      <c r="A93" s="50">
        <v>2010905</v>
      </c>
      <c r="B93" s="242" t="s">
        <v>120</v>
      </c>
      <c r="C93" s="243"/>
      <c r="D93" s="243"/>
      <c r="E93" s="243"/>
      <c r="F93" s="24">
        <f t="shared" si="9"/>
        <v>0</v>
      </c>
      <c r="G93" s="24">
        <f t="shared" si="10"/>
        <v>0</v>
      </c>
      <c r="H93" s="243"/>
    </row>
    <row r="94" s="34" customFormat="1" spans="1:8">
      <c r="A94" s="50">
        <v>2010907</v>
      </c>
      <c r="B94" s="242" t="s">
        <v>121</v>
      </c>
      <c r="C94" s="243"/>
      <c r="D94" s="243"/>
      <c r="E94" s="243"/>
      <c r="F94" s="24">
        <f t="shared" si="9"/>
        <v>0</v>
      </c>
      <c r="G94" s="24">
        <f t="shared" si="10"/>
        <v>0</v>
      </c>
      <c r="H94" s="243"/>
    </row>
    <row r="95" s="34" customFormat="1" spans="1:8">
      <c r="A95" s="50">
        <v>2010908</v>
      </c>
      <c r="B95" s="242" t="s">
        <v>109</v>
      </c>
      <c r="C95" s="243"/>
      <c r="D95" s="243"/>
      <c r="E95" s="243"/>
      <c r="F95" s="24">
        <f t="shared" si="9"/>
        <v>0</v>
      </c>
      <c r="G95" s="24">
        <f t="shared" si="10"/>
        <v>0</v>
      </c>
      <c r="H95" s="243"/>
    </row>
    <row r="96" s="34" customFormat="1" spans="1:8">
      <c r="A96" s="50">
        <v>2010909</v>
      </c>
      <c r="B96" s="242" t="s">
        <v>122</v>
      </c>
      <c r="C96" s="243"/>
      <c r="D96" s="243"/>
      <c r="E96" s="243"/>
      <c r="F96" s="24">
        <f t="shared" si="9"/>
        <v>0</v>
      </c>
      <c r="G96" s="24">
        <f t="shared" si="10"/>
        <v>0</v>
      </c>
      <c r="H96" s="243"/>
    </row>
    <row r="97" s="34" customFormat="1" spans="1:8">
      <c r="A97" s="50">
        <v>2010910</v>
      </c>
      <c r="B97" s="242" t="s">
        <v>123</v>
      </c>
      <c r="C97" s="243"/>
      <c r="D97" s="243"/>
      <c r="E97" s="243"/>
      <c r="F97" s="24">
        <f t="shared" si="9"/>
        <v>0</v>
      </c>
      <c r="G97" s="24">
        <f t="shared" si="10"/>
        <v>0</v>
      </c>
      <c r="H97" s="243"/>
    </row>
    <row r="98" s="34" customFormat="1" spans="1:8">
      <c r="A98" s="50">
        <v>2010911</v>
      </c>
      <c r="B98" s="242" t="s">
        <v>124</v>
      </c>
      <c r="C98" s="243"/>
      <c r="D98" s="243"/>
      <c r="E98" s="243"/>
      <c r="F98" s="24">
        <f t="shared" si="9"/>
        <v>0</v>
      </c>
      <c r="G98" s="24">
        <f t="shared" si="10"/>
        <v>0</v>
      </c>
      <c r="H98" s="243"/>
    </row>
    <row r="99" s="34" customFormat="1" spans="1:8">
      <c r="A99" s="50">
        <v>2010912</v>
      </c>
      <c r="B99" s="242" t="s">
        <v>125</v>
      </c>
      <c r="C99" s="243"/>
      <c r="D99" s="243"/>
      <c r="E99" s="243"/>
      <c r="F99" s="24">
        <f t="shared" si="9"/>
        <v>0</v>
      </c>
      <c r="G99" s="24">
        <f t="shared" si="10"/>
        <v>0</v>
      </c>
      <c r="H99" s="243"/>
    </row>
    <row r="100" s="34" customFormat="1" spans="1:8">
      <c r="A100" s="50">
        <v>2010950</v>
      </c>
      <c r="B100" s="244" t="s">
        <v>77</v>
      </c>
      <c r="C100" s="243"/>
      <c r="D100" s="243"/>
      <c r="E100" s="243"/>
      <c r="F100" s="24">
        <f t="shared" si="9"/>
        <v>0</v>
      </c>
      <c r="G100" s="24">
        <f t="shared" si="10"/>
        <v>0</v>
      </c>
      <c r="H100" s="243"/>
    </row>
    <row r="101" s="34" customFormat="1" spans="1:8">
      <c r="A101" s="50">
        <v>2010999</v>
      </c>
      <c r="B101" s="244" t="s">
        <v>126</v>
      </c>
      <c r="C101" s="243"/>
      <c r="D101" s="243"/>
      <c r="E101" s="243"/>
      <c r="F101" s="24">
        <f t="shared" si="9"/>
        <v>0</v>
      </c>
      <c r="G101" s="24">
        <f t="shared" si="10"/>
        <v>0</v>
      </c>
      <c r="H101" s="243"/>
    </row>
    <row r="102" s="34" customFormat="1" spans="1:8">
      <c r="A102" s="50">
        <v>20111</v>
      </c>
      <c r="B102" s="248" t="s">
        <v>127</v>
      </c>
      <c r="C102" s="241">
        <f t="shared" ref="C102:H102" si="14">SUM(C103:C110)</f>
        <v>773</v>
      </c>
      <c r="D102" s="241">
        <f t="shared" si="14"/>
        <v>820</v>
      </c>
      <c r="E102" s="241">
        <f t="shared" si="14"/>
        <v>1039</v>
      </c>
      <c r="F102" s="24">
        <f t="shared" si="9"/>
        <v>134.411384217335</v>
      </c>
      <c r="G102" s="24">
        <f t="shared" si="10"/>
        <v>126.707317073171</v>
      </c>
      <c r="H102" s="241">
        <f t="shared" si="14"/>
        <v>0</v>
      </c>
    </row>
    <row r="103" s="34" customFormat="1" spans="1:8">
      <c r="A103" s="50">
        <v>2011101</v>
      </c>
      <c r="B103" s="242" t="s">
        <v>68</v>
      </c>
      <c r="C103" s="243">
        <v>672</v>
      </c>
      <c r="D103" s="243">
        <v>679</v>
      </c>
      <c r="E103" s="243">
        <f>613+100</f>
        <v>713</v>
      </c>
      <c r="F103" s="24">
        <f t="shared" si="9"/>
        <v>106.10119047619</v>
      </c>
      <c r="G103" s="24">
        <f t="shared" si="10"/>
        <v>105.00736377025</v>
      </c>
      <c r="H103" s="243"/>
    </row>
    <row r="104" s="34" customFormat="1" spans="1:8">
      <c r="A104" s="50">
        <v>2011102</v>
      </c>
      <c r="B104" s="242" t="s">
        <v>69</v>
      </c>
      <c r="C104" s="243">
        <v>84</v>
      </c>
      <c r="D104" s="243">
        <v>103</v>
      </c>
      <c r="E104" s="243">
        <f>276+50</f>
        <v>326</v>
      </c>
      <c r="F104" s="24">
        <f t="shared" si="9"/>
        <v>388.095238095238</v>
      </c>
      <c r="G104" s="24">
        <f t="shared" si="10"/>
        <v>316.504854368932</v>
      </c>
      <c r="H104" s="243"/>
    </row>
    <row r="105" s="34" customFormat="1" spans="1:8">
      <c r="A105" s="50">
        <v>2011103</v>
      </c>
      <c r="B105" s="242" t="s">
        <v>70</v>
      </c>
      <c r="C105" s="243">
        <v>0</v>
      </c>
      <c r="D105" s="243">
        <v>0</v>
      </c>
      <c r="E105" s="243"/>
      <c r="F105" s="24">
        <f t="shared" si="9"/>
        <v>0</v>
      </c>
      <c r="G105" s="24">
        <f t="shared" si="10"/>
        <v>0</v>
      </c>
      <c r="H105" s="243"/>
    </row>
    <row r="106" s="34" customFormat="1" spans="1:8">
      <c r="A106" s="50">
        <v>2011104</v>
      </c>
      <c r="B106" s="244" t="s">
        <v>128</v>
      </c>
      <c r="C106" s="243">
        <v>0</v>
      </c>
      <c r="D106" s="243">
        <v>0</v>
      </c>
      <c r="E106" s="243"/>
      <c r="F106" s="24">
        <f t="shared" si="9"/>
        <v>0</v>
      </c>
      <c r="G106" s="24">
        <f t="shared" si="10"/>
        <v>0</v>
      </c>
      <c r="H106" s="243"/>
    </row>
    <row r="107" s="34" customFormat="1" spans="1:8">
      <c r="A107" s="50">
        <v>2011105</v>
      </c>
      <c r="B107" s="244" t="s">
        <v>129</v>
      </c>
      <c r="C107" s="243">
        <v>17</v>
      </c>
      <c r="D107" s="243">
        <v>16</v>
      </c>
      <c r="E107" s="243"/>
      <c r="F107" s="24">
        <f t="shared" si="9"/>
        <v>0</v>
      </c>
      <c r="G107" s="24">
        <f t="shared" si="10"/>
        <v>0</v>
      </c>
      <c r="H107" s="243"/>
    </row>
    <row r="108" s="34" customFormat="1" spans="1:8">
      <c r="A108" s="50">
        <v>2011106</v>
      </c>
      <c r="B108" s="244" t="s">
        <v>130</v>
      </c>
      <c r="C108" s="243">
        <v>0</v>
      </c>
      <c r="D108" s="243">
        <v>0</v>
      </c>
      <c r="E108" s="243"/>
      <c r="F108" s="24">
        <f t="shared" si="9"/>
        <v>0</v>
      </c>
      <c r="G108" s="24">
        <f t="shared" si="10"/>
        <v>0</v>
      </c>
      <c r="H108" s="243"/>
    </row>
    <row r="109" s="34" customFormat="1" spans="1:8">
      <c r="A109" s="50">
        <v>2011150</v>
      </c>
      <c r="B109" s="242" t="s">
        <v>77</v>
      </c>
      <c r="C109" s="243">
        <v>0</v>
      </c>
      <c r="D109" s="243">
        <v>0</v>
      </c>
      <c r="E109" s="243"/>
      <c r="F109" s="24">
        <f t="shared" si="9"/>
        <v>0</v>
      </c>
      <c r="G109" s="24">
        <f t="shared" si="10"/>
        <v>0</v>
      </c>
      <c r="H109" s="243"/>
    </row>
    <row r="110" s="34" customFormat="1" spans="1:8">
      <c r="A110" s="50">
        <v>2011199</v>
      </c>
      <c r="B110" s="242" t="s">
        <v>131</v>
      </c>
      <c r="C110" s="243">
        <v>0</v>
      </c>
      <c r="D110" s="243">
        <v>22</v>
      </c>
      <c r="E110" s="243"/>
      <c r="F110" s="24">
        <f t="shared" si="9"/>
        <v>0</v>
      </c>
      <c r="G110" s="24">
        <f t="shared" si="10"/>
        <v>0</v>
      </c>
      <c r="H110" s="243"/>
    </row>
    <row r="111" s="34" customFormat="1" spans="1:8">
      <c r="A111" s="50">
        <v>20113</v>
      </c>
      <c r="B111" s="240" t="s">
        <v>132</v>
      </c>
      <c r="C111" s="241">
        <f t="shared" ref="C111:H111" si="15">SUM(C112:C121)</f>
        <v>94</v>
      </c>
      <c r="D111" s="241">
        <f t="shared" si="15"/>
        <v>103</v>
      </c>
      <c r="E111" s="241">
        <f t="shared" si="15"/>
        <v>122</v>
      </c>
      <c r="F111" s="24">
        <f t="shared" si="9"/>
        <v>129.787234042553</v>
      </c>
      <c r="G111" s="24">
        <f t="shared" si="10"/>
        <v>118.446601941748</v>
      </c>
      <c r="H111" s="241">
        <f t="shared" si="15"/>
        <v>0</v>
      </c>
    </row>
    <row r="112" s="34" customFormat="1" spans="1:8">
      <c r="A112" s="50">
        <v>2011301</v>
      </c>
      <c r="B112" s="242" t="s">
        <v>68</v>
      </c>
      <c r="C112" s="243">
        <v>68</v>
      </c>
      <c r="D112" s="243">
        <v>68</v>
      </c>
      <c r="E112" s="243">
        <v>69</v>
      </c>
      <c r="F112" s="24">
        <f t="shared" si="9"/>
        <v>101.470588235294</v>
      </c>
      <c r="G112" s="24">
        <f t="shared" si="10"/>
        <v>101.470588235294</v>
      </c>
      <c r="H112" s="243"/>
    </row>
    <row r="113" s="34" customFormat="1" spans="1:8">
      <c r="A113" s="50">
        <v>2011302</v>
      </c>
      <c r="B113" s="242" t="s">
        <v>69</v>
      </c>
      <c r="C113" s="243">
        <v>26</v>
      </c>
      <c r="D113" s="243">
        <v>35</v>
      </c>
      <c r="E113" s="243">
        <v>53</v>
      </c>
      <c r="F113" s="24">
        <f t="shared" si="9"/>
        <v>203.846153846154</v>
      </c>
      <c r="G113" s="24">
        <f t="shared" si="10"/>
        <v>151.428571428571</v>
      </c>
      <c r="H113" s="243"/>
    </row>
    <row r="114" s="34" customFormat="1" spans="1:8">
      <c r="A114" s="50">
        <v>2011303</v>
      </c>
      <c r="B114" s="242" t="s">
        <v>70</v>
      </c>
      <c r="C114" s="243"/>
      <c r="D114" s="243"/>
      <c r="E114" s="243"/>
      <c r="F114" s="24">
        <f t="shared" si="9"/>
        <v>0</v>
      </c>
      <c r="G114" s="24">
        <f t="shared" si="10"/>
        <v>0</v>
      </c>
      <c r="H114" s="243"/>
    </row>
    <row r="115" s="34" customFormat="1" spans="1:8">
      <c r="A115" s="50">
        <v>2011304</v>
      </c>
      <c r="B115" s="244" t="s">
        <v>133</v>
      </c>
      <c r="C115" s="243"/>
      <c r="D115" s="243"/>
      <c r="E115" s="243"/>
      <c r="F115" s="24">
        <f t="shared" si="9"/>
        <v>0</v>
      </c>
      <c r="G115" s="24">
        <f t="shared" si="10"/>
        <v>0</v>
      </c>
      <c r="H115" s="243"/>
    </row>
    <row r="116" s="34" customFormat="1" spans="1:8">
      <c r="A116" s="50">
        <v>2011305</v>
      </c>
      <c r="B116" s="244" t="s">
        <v>134</v>
      </c>
      <c r="C116" s="243"/>
      <c r="D116" s="243"/>
      <c r="E116" s="243"/>
      <c r="F116" s="24">
        <f t="shared" si="9"/>
        <v>0</v>
      </c>
      <c r="G116" s="24">
        <f t="shared" si="10"/>
        <v>0</v>
      </c>
      <c r="H116" s="243"/>
    </row>
    <row r="117" s="34" customFormat="1" spans="1:8">
      <c r="A117" s="50">
        <v>2011306</v>
      </c>
      <c r="B117" s="244" t="s">
        <v>135</v>
      </c>
      <c r="C117" s="243"/>
      <c r="D117" s="243"/>
      <c r="E117" s="243"/>
      <c r="F117" s="24">
        <f t="shared" si="9"/>
        <v>0</v>
      </c>
      <c r="G117" s="24">
        <f t="shared" si="10"/>
        <v>0</v>
      </c>
      <c r="H117" s="243"/>
    </row>
    <row r="118" s="34" customFormat="1" spans="1:8">
      <c r="A118" s="50">
        <v>2011307</v>
      </c>
      <c r="B118" s="242" t="s">
        <v>136</v>
      </c>
      <c r="C118" s="243"/>
      <c r="D118" s="243"/>
      <c r="E118" s="243"/>
      <c r="F118" s="24">
        <f t="shared" si="9"/>
        <v>0</v>
      </c>
      <c r="G118" s="24">
        <f t="shared" si="10"/>
        <v>0</v>
      </c>
      <c r="H118" s="243"/>
    </row>
    <row r="119" s="34" customFormat="1" spans="1:8">
      <c r="A119" s="50">
        <v>2011308</v>
      </c>
      <c r="B119" s="242" t="s">
        <v>137</v>
      </c>
      <c r="C119" s="243"/>
      <c r="D119" s="243"/>
      <c r="E119" s="243"/>
      <c r="F119" s="24">
        <f t="shared" si="9"/>
        <v>0</v>
      </c>
      <c r="G119" s="24">
        <f t="shared" si="10"/>
        <v>0</v>
      </c>
      <c r="H119" s="243"/>
    </row>
    <row r="120" s="34" customFormat="1" spans="1:8">
      <c r="A120" s="50">
        <v>2011350</v>
      </c>
      <c r="B120" s="242" t="s">
        <v>77</v>
      </c>
      <c r="C120" s="243"/>
      <c r="D120" s="243"/>
      <c r="E120" s="243"/>
      <c r="F120" s="24">
        <f t="shared" si="9"/>
        <v>0</v>
      </c>
      <c r="G120" s="24">
        <f t="shared" si="10"/>
        <v>0</v>
      </c>
      <c r="H120" s="243"/>
    </row>
    <row r="121" s="34" customFormat="1" spans="1:8">
      <c r="A121" s="50">
        <v>2011399</v>
      </c>
      <c r="B121" s="244" t="s">
        <v>138</v>
      </c>
      <c r="C121" s="243"/>
      <c r="D121" s="243"/>
      <c r="E121" s="243"/>
      <c r="F121" s="24">
        <f t="shared" si="9"/>
        <v>0</v>
      </c>
      <c r="G121" s="24">
        <f t="shared" si="10"/>
        <v>0</v>
      </c>
      <c r="H121" s="243"/>
    </row>
    <row r="122" s="34" customFormat="1" spans="1:8">
      <c r="A122" s="50">
        <v>20114</v>
      </c>
      <c r="B122" s="244" t="s">
        <v>139</v>
      </c>
      <c r="C122" s="241">
        <f t="shared" ref="C122:H122" si="16">SUM(C123:C133)</f>
        <v>0</v>
      </c>
      <c r="D122" s="241">
        <f t="shared" si="16"/>
        <v>0</v>
      </c>
      <c r="E122" s="241">
        <f t="shared" si="16"/>
        <v>0</v>
      </c>
      <c r="F122" s="24">
        <f t="shared" si="9"/>
        <v>0</v>
      </c>
      <c r="G122" s="24">
        <f t="shared" si="10"/>
        <v>0</v>
      </c>
      <c r="H122" s="241">
        <f t="shared" si="16"/>
        <v>0</v>
      </c>
    </row>
    <row r="123" s="34" customFormat="1" spans="1:8">
      <c r="A123" s="50">
        <v>2011401</v>
      </c>
      <c r="B123" s="244" t="s">
        <v>68</v>
      </c>
      <c r="C123" s="243"/>
      <c r="D123" s="243"/>
      <c r="E123" s="243"/>
      <c r="F123" s="24">
        <f t="shared" si="9"/>
        <v>0</v>
      </c>
      <c r="G123" s="24">
        <f t="shared" si="10"/>
        <v>0</v>
      </c>
      <c r="H123" s="243"/>
    </row>
    <row r="124" s="34" customFormat="1" spans="1:8">
      <c r="A124" s="50">
        <v>2011402</v>
      </c>
      <c r="B124" s="240" t="s">
        <v>69</v>
      </c>
      <c r="C124" s="243"/>
      <c r="D124" s="243"/>
      <c r="E124" s="243"/>
      <c r="F124" s="24">
        <f t="shared" si="9"/>
        <v>0</v>
      </c>
      <c r="G124" s="24">
        <f t="shared" si="10"/>
        <v>0</v>
      </c>
      <c r="H124" s="243"/>
    </row>
    <row r="125" s="34" customFormat="1" spans="1:8">
      <c r="A125" s="50">
        <v>2011403</v>
      </c>
      <c r="B125" s="242" t="s">
        <v>70</v>
      </c>
      <c r="C125" s="243"/>
      <c r="D125" s="243"/>
      <c r="E125" s="243"/>
      <c r="F125" s="24">
        <f t="shared" si="9"/>
        <v>0</v>
      </c>
      <c r="G125" s="24">
        <f t="shared" si="10"/>
        <v>0</v>
      </c>
      <c r="H125" s="243"/>
    </row>
    <row r="126" s="34" customFormat="1" spans="1:8">
      <c r="A126" s="50">
        <v>2011404</v>
      </c>
      <c r="B126" s="242" t="s">
        <v>140</v>
      </c>
      <c r="C126" s="243"/>
      <c r="D126" s="243"/>
      <c r="E126" s="243"/>
      <c r="F126" s="24">
        <f t="shared" si="9"/>
        <v>0</v>
      </c>
      <c r="G126" s="24">
        <f t="shared" si="10"/>
        <v>0</v>
      </c>
      <c r="H126" s="243"/>
    </row>
    <row r="127" s="34" customFormat="1" spans="1:8">
      <c r="A127" s="50">
        <v>2011405</v>
      </c>
      <c r="B127" s="242" t="s">
        <v>141</v>
      </c>
      <c r="C127" s="243"/>
      <c r="D127" s="243"/>
      <c r="E127" s="243"/>
      <c r="F127" s="24">
        <f t="shared" si="9"/>
        <v>0</v>
      </c>
      <c r="G127" s="24">
        <f t="shared" si="10"/>
        <v>0</v>
      </c>
      <c r="H127" s="243"/>
    </row>
    <row r="128" s="34" customFormat="1" spans="1:8">
      <c r="A128" s="50">
        <v>2011408</v>
      </c>
      <c r="B128" s="244" t="s">
        <v>142</v>
      </c>
      <c r="C128" s="243"/>
      <c r="D128" s="243"/>
      <c r="E128" s="243"/>
      <c r="F128" s="24">
        <f t="shared" si="9"/>
        <v>0</v>
      </c>
      <c r="G128" s="24">
        <f t="shared" si="10"/>
        <v>0</v>
      </c>
      <c r="H128" s="243"/>
    </row>
    <row r="129" s="34" customFormat="1" spans="1:8">
      <c r="A129" s="50">
        <v>2011409</v>
      </c>
      <c r="B129" s="242" t="s">
        <v>143</v>
      </c>
      <c r="C129" s="243"/>
      <c r="D129" s="243"/>
      <c r="E129" s="243"/>
      <c r="F129" s="24">
        <f t="shared" si="9"/>
        <v>0</v>
      </c>
      <c r="G129" s="24">
        <f t="shared" si="10"/>
        <v>0</v>
      </c>
      <c r="H129" s="243"/>
    </row>
    <row r="130" s="34" customFormat="1" spans="1:8">
      <c r="A130" s="50">
        <v>2011410</v>
      </c>
      <c r="B130" s="242" t="s">
        <v>144</v>
      </c>
      <c r="C130" s="243"/>
      <c r="D130" s="243"/>
      <c r="E130" s="243"/>
      <c r="F130" s="24">
        <f t="shared" si="9"/>
        <v>0</v>
      </c>
      <c r="G130" s="24">
        <f t="shared" si="10"/>
        <v>0</v>
      </c>
      <c r="H130" s="243"/>
    </row>
    <row r="131" s="34" customFormat="1" spans="1:8">
      <c r="A131" s="50">
        <v>2011411</v>
      </c>
      <c r="B131" s="242" t="s">
        <v>145</v>
      </c>
      <c r="C131" s="243"/>
      <c r="D131" s="243"/>
      <c r="E131" s="243"/>
      <c r="F131" s="24">
        <f t="shared" si="9"/>
        <v>0</v>
      </c>
      <c r="G131" s="24">
        <f t="shared" si="10"/>
        <v>0</v>
      </c>
      <c r="H131" s="243"/>
    </row>
    <row r="132" s="34" customFormat="1" spans="1:8">
      <c r="A132" s="50">
        <v>2011450</v>
      </c>
      <c r="B132" s="242" t="s">
        <v>77</v>
      </c>
      <c r="C132" s="243"/>
      <c r="D132" s="243"/>
      <c r="E132" s="243"/>
      <c r="F132" s="24">
        <f t="shared" si="9"/>
        <v>0</v>
      </c>
      <c r="G132" s="24">
        <f t="shared" si="10"/>
        <v>0</v>
      </c>
      <c r="H132" s="243"/>
    </row>
    <row r="133" s="34" customFormat="1" spans="1:8">
      <c r="A133" s="50">
        <v>2011499</v>
      </c>
      <c r="B133" s="242" t="s">
        <v>146</v>
      </c>
      <c r="C133" s="243"/>
      <c r="D133" s="243"/>
      <c r="E133" s="243"/>
      <c r="F133" s="24">
        <f t="shared" si="9"/>
        <v>0</v>
      </c>
      <c r="G133" s="24">
        <f t="shared" si="10"/>
        <v>0</v>
      </c>
      <c r="H133" s="243"/>
    </row>
    <row r="134" s="34" customFormat="1" spans="1:8">
      <c r="A134" s="50">
        <v>20123</v>
      </c>
      <c r="B134" s="242" t="s">
        <v>147</v>
      </c>
      <c r="C134" s="241">
        <f t="shared" ref="C134:H134" si="17">SUM(C135:C140)</f>
        <v>197</v>
      </c>
      <c r="D134" s="241">
        <f t="shared" si="17"/>
        <v>248</v>
      </c>
      <c r="E134" s="241">
        <f t="shared" si="17"/>
        <v>196</v>
      </c>
      <c r="F134" s="24">
        <f t="shared" ref="F134:F197" si="18">IF(C134&gt;0,E134/C134*100,)</f>
        <v>99.492385786802</v>
      </c>
      <c r="G134" s="24">
        <f t="shared" ref="G134:G197" si="19">IF(D134&gt;0,E134/D134*100,)</f>
        <v>79.0322580645161</v>
      </c>
      <c r="H134" s="241">
        <f t="shared" si="17"/>
        <v>0</v>
      </c>
    </row>
    <row r="135" s="34" customFormat="1" spans="1:8">
      <c r="A135" s="50">
        <v>2012301</v>
      </c>
      <c r="B135" s="242" t="s">
        <v>68</v>
      </c>
      <c r="C135" s="243">
        <v>119</v>
      </c>
      <c r="D135" s="243">
        <v>116</v>
      </c>
      <c r="E135" s="243">
        <v>123</v>
      </c>
      <c r="F135" s="24">
        <f t="shared" si="18"/>
        <v>103.361344537815</v>
      </c>
      <c r="G135" s="24">
        <f t="shared" si="19"/>
        <v>106.034482758621</v>
      </c>
      <c r="H135" s="243"/>
    </row>
    <row r="136" s="34" customFormat="1" spans="1:8">
      <c r="A136" s="50">
        <v>2012302</v>
      </c>
      <c r="B136" s="242" t="s">
        <v>69</v>
      </c>
      <c r="C136" s="243">
        <v>11</v>
      </c>
      <c r="D136" s="243">
        <v>15</v>
      </c>
      <c r="E136" s="243">
        <v>36</v>
      </c>
      <c r="F136" s="24">
        <f t="shared" si="18"/>
        <v>327.272727272727</v>
      </c>
      <c r="G136" s="24">
        <f t="shared" si="19"/>
        <v>240</v>
      </c>
      <c r="H136" s="243"/>
    </row>
    <row r="137" s="34" customFormat="1" spans="1:8">
      <c r="A137" s="50">
        <v>2012303</v>
      </c>
      <c r="B137" s="244" t="s">
        <v>70</v>
      </c>
      <c r="C137" s="243">
        <v>0</v>
      </c>
      <c r="D137" s="243">
        <v>0</v>
      </c>
      <c r="E137" s="243"/>
      <c r="F137" s="24">
        <f t="shared" si="18"/>
        <v>0</v>
      </c>
      <c r="G137" s="24">
        <f t="shared" si="19"/>
        <v>0</v>
      </c>
      <c r="H137" s="243"/>
    </row>
    <row r="138" s="34" customFormat="1" spans="1:8">
      <c r="A138" s="50">
        <v>2012304</v>
      </c>
      <c r="B138" s="244" t="s">
        <v>148</v>
      </c>
      <c r="C138" s="243">
        <v>37</v>
      </c>
      <c r="D138" s="243">
        <v>37</v>
      </c>
      <c r="E138" s="243">
        <v>37</v>
      </c>
      <c r="F138" s="24">
        <f t="shared" si="18"/>
        <v>100</v>
      </c>
      <c r="G138" s="24">
        <f t="shared" si="19"/>
        <v>100</v>
      </c>
      <c r="H138" s="243"/>
    </row>
    <row r="139" s="34" customFormat="1" spans="1:8">
      <c r="A139" s="50">
        <v>2012350</v>
      </c>
      <c r="B139" s="244" t="s">
        <v>77</v>
      </c>
      <c r="C139" s="243">
        <v>0</v>
      </c>
      <c r="D139" s="243">
        <v>0</v>
      </c>
      <c r="E139" s="243"/>
      <c r="F139" s="24">
        <f t="shared" si="18"/>
        <v>0</v>
      </c>
      <c r="G139" s="24">
        <f t="shared" si="19"/>
        <v>0</v>
      </c>
      <c r="H139" s="243"/>
    </row>
    <row r="140" s="34" customFormat="1" spans="1:8">
      <c r="A140" s="50">
        <v>2012399</v>
      </c>
      <c r="B140" s="240" t="s">
        <v>149</v>
      </c>
      <c r="C140" s="243">
        <v>30</v>
      </c>
      <c r="D140" s="243">
        <v>80</v>
      </c>
      <c r="E140" s="243"/>
      <c r="F140" s="24">
        <f t="shared" si="18"/>
        <v>0</v>
      </c>
      <c r="G140" s="24">
        <f t="shared" si="19"/>
        <v>0</v>
      </c>
      <c r="H140" s="243"/>
    </row>
    <row r="141" s="34" customFormat="1" spans="1:8">
      <c r="A141" s="50">
        <v>20125</v>
      </c>
      <c r="B141" s="242" t="s">
        <v>150</v>
      </c>
      <c r="C141" s="241">
        <f t="shared" ref="C141:H141" si="20">SUM(C142:C148)</f>
        <v>0</v>
      </c>
      <c r="D141" s="241">
        <f t="shared" si="20"/>
        <v>0</v>
      </c>
      <c r="E141" s="241">
        <f t="shared" si="20"/>
        <v>0</v>
      </c>
      <c r="F141" s="24">
        <f t="shared" si="18"/>
        <v>0</v>
      </c>
      <c r="G141" s="24">
        <f t="shared" si="19"/>
        <v>0</v>
      </c>
      <c r="H141" s="241">
        <f t="shared" si="20"/>
        <v>0</v>
      </c>
    </row>
    <row r="142" s="34" customFormat="1" spans="1:8">
      <c r="A142" s="50">
        <v>2012501</v>
      </c>
      <c r="B142" s="242" t="s">
        <v>68</v>
      </c>
      <c r="C142" s="243"/>
      <c r="D142" s="243"/>
      <c r="E142" s="243"/>
      <c r="F142" s="24">
        <f t="shared" si="18"/>
        <v>0</v>
      </c>
      <c r="G142" s="24">
        <f t="shared" si="19"/>
        <v>0</v>
      </c>
      <c r="H142" s="243"/>
    </row>
    <row r="143" s="34" customFormat="1" spans="1:8">
      <c r="A143" s="50">
        <v>2012502</v>
      </c>
      <c r="B143" s="244" t="s">
        <v>69</v>
      </c>
      <c r="C143" s="243"/>
      <c r="D143" s="243"/>
      <c r="E143" s="243"/>
      <c r="F143" s="24">
        <f t="shared" si="18"/>
        <v>0</v>
      </c>
      <c r="G143" s="24">
        <f t="shared" si="19"/>
        <v>0</v>
      </c>
      <c r="H143" s="243"/>
    </row>
    <row r="144" s="34" customFormat="1" spans="1:8">
      <c r="A144" s="50">
        <v>2012503</v>
      </c>
      <c r="B144" s="244" t="s">
        <v>70</v>
      </c>
      <c r="C144" s="243"/>
      <c r="D144" s="243"/>
      <c r="E144" s="243"/>
      <c r="F144" s="24">
        <f t="shared" si="18"/>
        <v>0</v>
      </c>
      <c r="G144" s="24">
        <f t="shared" si="19"/>
        <v>0</v>
      </c>
      <c r="H144" s="243"/>
    </row>
    <row r="145" s="34" customFormat="1" spans="1:8">
      <c r="A145" s="50">
        <v>2012504</v>
      </c>
      <c r="B145" s="244" t="s">
        <v>151</v>
      </c>
      <c r="C145" s="243"/>
      <c r="D145" s="243"/>
      <c r="E145" s="243"/>
      <c r="F145" s="24">
        <f t="shared" si="18"/>
        <v>0</v>
      </c>
      <c r="G145" s="24">
        <f t="shared" si="19"/>
        <v>0</v>
      </c>
      <c r="H145" s="243"/>
    </row>
    <row r="146" s="34" customFormat="1" spans="1:8">
      <c r="A146" s="50">
        <v>2012505</v>
      </c>
      <c r="B146" s="240" t="s">
        <v>152</v>
      </c>
      <c r="C146" s="243"/>
      <c r="D146" s="243"/>
      <c r="E146" s="243"/>
      <c r="F146" s="24">
        <f t="shared" si="18"/>
        <v>0</v>
      </c>
      <c r="G146" s="24">
        <f t="shared" si="19"/>
        <v>0</v>
      </c>
      <c r="H146" s="243"/>
    </row>
    <row r="147" s="34" customFormat="1" spans="1:8">
      <c r="A147" s="50">
        <v>2012550</v>
      </c>
      <c r="B147" s="242" t="s">
        <v>77</v>
      </c>
      <c r="C147" s="243"/>
      <c r="D147" s="243"/>
      <c r="E147" s="243"/>
      <c r="F147" s="24">
        <f t="shared" si="18"/>
        <v>0</v>
      </c>
      <c r="G147" s="24">
        <f t="shared" si="19"/>
        <v>0</v>
      </c>
      <c r="H147" s="243"/>
    </row>
    <row r="148" s="34" customFormat="1" spans="1:8">
      <c r="A148" s="50">
        <v>2012599</v>
      </c>
      <c r="B148" s="242" t="s">
        <v>153</v>
      </c>
      <c r="C148" s="243"/>
      <c r="D148" s="243"/>
      <c r="E148" s="243"/>
      <c r="F148" s="24">
        <f t="shared" si="18"/>
        <v>0</v>
      </c>
      <c r="G148" s="24">
        <f t="shared" si="19"/>
        <v>0</v>
      </c>
      <c r="H148" s="243"/>
    </row>
    <row r="149" s="34" customFormat="1" spans="1:8">
      <c r="A149" s="50">
        <v>20126</v>
      </c>
      <c r="B149" s="244" t="s">
        <v>154</v>
      </c>
      <c r="C149" s="241">
        <f t="shared" ref="C149:H149" si="21">SUM(C150:C154)</f>
        <v>128</v>
      </c>
      <c r="D149" s="241">
        <f t="shared" si="21"/>
        <v>137</v>
      </c>
      <c r="E149" s="241">
        <f t="shared" si="21"/>
        <v>134</v>
      </c>
      <c r="F149" s="24">
        <f t="shared" si="18"/>
        <v>104.6875</v>
      </c>
      <c r="G149" s="24">
        <f t="shared" si="19"/>
        <v>97.8102189781022</v>
      </c>
      <c r="H149" s="241">
        <f t="shared" si="21"/>
        <v>0</v>
      </c>
    </row>
    <row r="150" s="34" customFormat="1" spans="1:8">
      <c r="A150" s="50">
        <v>2012601</v>
      </c>
      <c r="B150" s="244" t="s">
        <v>68</v>
      </c>
      <c r="C150" s="243">
        <v>83</v>
      </c>
      <c r="D150" s="243">
        <v>73</v>
      </c>
      <c r="E150" s="243">
        <v>82</v>
      </c>
      <c r="F150" s="24">
        <f t="shared" si="18"/>
        <v>98.7951807228916</v>
      </c>
      <c r="G150" s="24">
        <f t="shared" si="19"/>
        <v>112.328767123288</v>
      </c>
      <c r="H150" s="243"/>
    </row>
    <row r="151" s="34" customFormat="1" spans="1:8">
      <c r="A151" s="50">
        <v>2012602</v>
      </c>
      <c r="B151" s="244" t="s">
        <v>69</v>
      </c>
      <c r="C151" s="243">
        <v>35</v>
      </c>
      <c r="D151" s="243">
        <v>47</v>
      </c>
      <c r="E151" s="243">
        <v>52</v>
      </c>
      <c r="F151" s="24">
        <f t="shared" si="18"/>
        <v>148.571428571429</v>
      </c>
      <c r="G151" s="24">
        <f t="shared" si="19"/>
        <v>110.63829787234</v>
      </c>
      <c r="H151" s="243"/>
    </row>
    <row r="152" s="34" customFormat="1" spans="1:8">
      <c r="A152" s="50">
        <v>2012603</v>
      </c>
      <c r="B152" s="242" t="s">
        <v>70</v>
      </c>
      <c r="C152" s="243">
        <v>0</v>
      </c>
      <c r="D152" s="243">
        <v>0</v>
      </c>
      <c r="E152" s="243"/>
      <c r="F152" s="24">
        <f t="shared" si="18"/>
        <v>0</v>
      </c>
      <c r="G152" s="24">
        <f t="shared" si="19"/>
        <v>0</v>
      </c>
      <c r="H152" s="243"/>
    </row>
    <row r="153" s="34" customFormat="1" spans="1:8">
      <c r="A153" s="50">
        <v>2012604</v>
      </c>
      <c r="B153" s="245" t="s">
        <v>155</v>
      </c>
      <c r="C153" s="243">
        <v>10</v>
      </c>
      <c r="D153" s="243">
        <v>17</v>
      </c>
      <c r="E153" s="243"/>
      <c r="F153" s="24">
        <f t="shared" si="18"/>
        <v>0</v>
      </c>
      <c r="G153" s="24">
        <f t="shared" si="19"/>
        <v>0</v>
      </c>
      <c r="H153" s="243"/>
    </row>
    <row r="154" s="34" customFormat="1" spans="1:8">
      <c r="A154" s="50">
        <v>2012699</v>
      </c>
      <c r="B154" s="242" t="s">
        <v>156</v>
      </c>
      <c r="C154" s="243">
        <v>0</v>
      </c>
      <c r="D154" s="243"/>
      <c r="E154" s="243"/>
      <c r="F154" s="24">
        <f t="shared" si="18"/>
        <v>0</v>
      </c>
      <c r="G154" s="24">
        <f t="shared" si="19"/>
        <v>0</v>
      </c>
      <c r="H154" s="243"/>
    </row>
    <row r="155" s="34" customFormat="1" spans="1:8">
      <c r="A155" s="50">
        <v>20128</v>
      </c>
      <c r="B155" s="244" t="s">
        <v>157</v>
      </c>
      <c r="C155" s="241">
        <f t="shared" ref="C155:H155" si="22">SUM(C156:C161)</f>
        <v>0</v>
      </c>
      <c r="D155" s="241">
        <f t="shared" si="22"/>
        <v>0</v>
      </c>
      <c r="E155" s="241">
        <f t="shared" si="22"/>
        <v>0</v>
      </c>
      <c r="F155" s="24">
        <f t="shared" si="18"/>
        <v>0</v>
      </c>
      <c r="G155" s="24">
        <f t="shared" si="19"/>
        <v>0</v>
      </c>
      <c r="H155" s="241">
        <f t="shared" si="22"/>
        <v>0</v>
      </c>
    </row>
    <row r="156" s="34" customFormat="1" spans="1:8">
      <c r="A156" s="50">
        <v>2012801</v>
      </c>
      <c r="B156" s="244" t="s">
        <v>68</v>
      </c>
      <c r="C156" s="243"/>
      <c r="D156" s="243"/>
      <c r="E156" s="243"/>
      <c r="F156" s="24">
        <f t="shared" si="18"/>
        <v>0</v>
      </c>
      <c r="G156" s="24">
        <f t="shared" si="19"/>
        <v>0</v>
      </c>
      <c r="H156" s="243"/>
    </row>
    <row r="157" s="34" customFormat="1" spans="1:8">
      <c r="A157" s="50">
        <v>2012802</v>
      </c>
      <c r="B157" s="244" t="s">
        <v>69</v>
      </c>
      <c r="C157" s="243"/>
      <c r="D157" s="243"/>
      <c r="E157" s="243"/>
      <c r="F157" s="24">
        <f t="shared" si="18"/>
        <v>0</v>
      </c>
      <c r="G157" s="24">
        <f t="shared" si="19"/>
        <v>0</v>
      </c>
      <c r="H157" s="243"/>
    </row>
    <row r="158" s="34" customFormat="1" spans="1:8">
      <c r="A158" s="50">
        <v>2012803</v>
      </c>
      <c r="B158" s="240" t="s">
        <v>70</v>
      </c>
      <c r="C158" s="243"/>
      <c r="D158" s="243"/>
      <c r="E158" s="243"/>
      <c r="F158" s="24">
        <f t="shared" si="18"/>
        <v>0</v>
      </c>
      <c r="G158" s="24">
        <f t="shared" si="19"/>
        <v>0</v>
      </c>
      <c r="H158" s="243"/>
    </row>
    <row r="159" s="34" customFormat="1" spans="1:8">
      <c r="A159" s="50">
        <v>2012804</v>
      </c>
      <c r="B159" s="242" t="s">
        <v>82</v>
      </c>
      <c r="C159" s="243"/>
      <c r="D159" s="243"/>
      <c r="E159" s="243"/>
      <c r="F159" s="24">
        <f t="shared" si="18"/>
        <v>0</v>
      </c>
      <c r="G159" s="24">
        <f t="shared" si="19"/>
        <v>0</v>
      </c>
      <c r="H159" s="243"/>
    </row>
    <row r="160" s="34" customFormat="1" spans="1:8">
      <c r="A160" s="50">
        <v>2012850</v>
      </c>
      <c r="B160" s="242" t="s">
        <v>77</v>
      </c>
      <c r="C160" s="243"/>
      <c r="D160" s="243"/>
      <c r="E160" s="243"/>
      <c r="F160" s="24">
        <f t="shared" si="18"/>
        <v>0</v>
      </c>
      <c r="G160" s="24">
        <f t="shared" si="19"/>
        <v>0</v>
      </c>
      <c r="H160" s="243"/>
    </row>
    <row r="161" s="34" customFormat="1" spans="1:8">
      <c r="A161" s="50">
        <v>2012899</v>
      </c>
      <c r="B161" s="242" t="s">
        <v>158</v>
      </c>
      <c r="C161" s="243"/>
      <c r="D161" s="243"/>
      <c r="E161" s="243"/>
      <c r="F161" s="24">
        <f t="shared" si="18"/>
        <v>0</v>
      </c>
      <c r="G161" s="24">
        <f t="shared" si="19"/>
        <v>0</v>
      </c>
      <c r="H161" s="243"/>
    </row>
    <row r="162" s="34" customFormat="1" spans="1:8">
      <c r="A162" s="50">
        <v>20129</v>
      </c>
      <c r="B162" s="244" t="s">
        <v>159</v>
      </c>
      <c r="C162" s="241">
        <f t="shared" ref="C162:H162" si="23">SUM(C163:C168)</f>
        <v>1027</v>
      </c>
      <c r="D162" s="241">
        <f t="shared" si="23"/>
        <v>1070</v>
      </c>
      <c r="E162" s="241">
        <f t="shared" si="23"/>
        <v>1103</v>
      </c>
      <c r="F162" s="24">
        <f t="shared" si="18"/>
        <v>107.400194741967</v>
      </c>
      <c r="G162" s="24">
        <f t="shared" si="19"/>
        <v>103.084112149533</v>
      </c>
      <c r="H162" s="241">
        <f t="shared" si="23"/>
        <v>0</v>
      </c>
    </row>
    <row r="163" s="34" customFormat="1" spans="1:8">
      <c r="A163" s="50">
        <v>2012901</v>
      </c>
      <c r="B163" s="244" t="s">
        <v>68</v>
      </c>
      <c r="C163" s="243">
        <v>179</v>
      </c>
      <c r="D163" s="243">
        <v>195</v>
      </c>
      <c r="E163" s="243">
        <v>854</v>
      </c>
      <c r="F163" s="24">
        <f t="shared" si="18"/>
        <v>477.094972067039</v>
      </c>
      <c r="G163" s="24">
        <f t="shared" si="19"/>
        <v>437.948717948718</v>
      </c>
      <c r="H163" s="243"/>
    </row>
    <row r="164" s="34" customFormat="1" spans="1:8">
      <c r="A164" s="50">
        <v>2012902</v>
      </c>
      <c r="B164" s="244" t="s">
        <v>69</v>
      </c>
      <c r="C164" s="243">
        <v>184</v>
      </c>
      <c r="D164" s="243">
        <v>208</v>
      </c>
      <c r="E164" s="243">
        <v>117</v>
      </c>
      <c r="F164" s="24">
        <f t="shared" si="18"/>
        <v>63.5869565217391</v>
      </c>
      <c r="G164" s="24">
        <f t="shared" si="19"/>
        <v>56.25</v>
      </c>
      <c r="H164" s="243"/>
    </row>
    <row r="165" s="34" customFormat="1" spans="1:8">
      <c r="A165" s="50">
        <v>2012903</v>
      </c>
      <c r="B165" s="242" t="s">
        <v>70</v>
      </c>
      <c r="C165" s="243">
        <v>0</v>
      </c>
      <c r="D165" s="243">
        <v>0</v>
      </c>
      <c r="E165" s="243"/>
      <c r="F165" s="24">
        <f t="shared" si="18"/>
        <v>0</v>
      </c>
      <c r="G165" s="24">
        <f t="shared" si="19"/>
        <v>0</v>
      </c>
      <c r="H165" s="243"/>
    </row>
    <row r="166" s="34" customFormat="1" spans="1:8">
      <c r="A166" s="50">
        <v>2012906</v>
      </c>
      <c r="B166" s="242" t="s">
        <v>160</v>
      </c>
      <c r="C166" s="243">
        <v>0</v>
      </c>
      <c r="D166" s="243">
        <v>0</v>
      </c>
      <c r="E166" s="243"/>
      <c r="F166" s="24">
        <f t="shared" si="18"/>
        <v>0</v>
      </c>
      <c r="G166" s="24">
        <f t="shared" si="19"/>
        <v>0</v>
      </c>
      <c r="H166" s="243"/>
    </row>
    <row r="167" s="34" customFormat="1" spans="1:8">
      <c r="A167" s="50">
        <v>2012950</v>
      </c>
      <c r="B167" s="244" t="s">
        <v>77</v>
      </c>
      <c r="C167" s="243">
        <v>0</v>
      </c>
      <c r="D167" s="243">
        <v>0</v>
      </c>
      <c r="E167" s="243"/>
      <c r="F167" s="24">
        <f t="shared" si="18"/>
        <v>0</v>
      </c>
      <c r="G167" s="24">
        <f t="shared" si="19"/>
        <v>0</v>
      </c>
      <c r="H167" s="243"/>
    </row>
    <row r="168" s="34" customFormat="1" spans="1:8">
      <c r="A168" s="50">
        <v>2012999</v>
      </c>
      <c r="B168" s="244" t="s">
        <v>161</v>
      </c>
      <c r="C168" s="243">
        <v>664</v>
      </c>
      <c r="D168" s="243">
        <v>667</v>
      </c>
      <c r="E168" s="243">
        <f>90+42</f>
        <v>132</v>
      </c>
      <c r="F168" s="24">
        <f t="shared" si="18"/>
        <v>19.8795180722892</v>
      </c>
      <c r="G168" s="24">
        <f t="shared" si="19"/>
        <v>19.7901049475262</v>
      </c>
      <c r="H168" s="243"/>
    </row>
    <row r="169" s="34" customFormat="1" spans="1:8">
      <c r="A169" s="50">
        <v>20131</v>
      </c>
      <c r="B169" s="244" t="s">
        <v>162</v>
      </c>
      <c r="C169" s="241">
        <f t="shared" ref="C169:H169" si="24">SUM(C170:C175)</f>
        <v>1123</v>
      </c>
      <c r="D169" s="241">
        <f t="shared" si="24"/>
        <v>1270</v>
      </c>
      <c r="E169" s="241">
        <f t="shared" si="24"/>
        <v>1171</v>
      </c>
      <c r="F169" s="24">
        <f t="shared" si="18"/>
        <v>104.274265360641</v>
      </c>
      <c r="G169" s="24">
        <f t="shared" si="19"/>
        <v>92.2047244094488</v>
      </c>
      <c r="H169" s="241">
        <f t="shared" si="24"/>
        <v>0</v>
      </c>
    </row>
    <row r="170" s="34" customFormat="1" spans="1:8">
      <c r="A170" s="50">
        <v>2013101</v>
      </c>
      <c r="B170" s="244" t="s">
        <v>68</v>
      </c>
      <c r="C170" s="243">
        <v>783</v>
      </c>
      <c r="D170" s="243">
        <v>952</v>
      </c>
      <c r="E170" s="243">
        <f>354+400</f>
        <v>754</v>
      </c>
      <c r="F170" s="24">
        <f t="shared" si="18"/>
        <v>96.2962962962963</v>
      </c>
      <c r="G170" s="24">
        <f t="shared" si="19"/>
        <v>79.2016806722689</v>
      </c>
      <c r="H170" s="243"/>
    </row>
    <row r="171" s="34" customFormat="1" spans="1:8">
      <c r="A171" s="50">
        <v>2013102</v>
      </c>
      <c r="B171" s="242" t="s">
        <v>69</v>
      </c>
      <c r="C171" s="243">
        <v>340</v>
      </c>
      <c r="D171" s="243">
        <v>318</v>
      </c>
      <c r="E171" s="243">
        <f>414+3</f>
        <v>417</v>
      </c>
      <c r="F171" s="24">
        <f t="shared" si="18"/>
        <v>122.647058823529</v>
      </c>
      <c r="G171" s="24">
        <f t="shared" si="19"/>
        <v>131.132075471698</v>
      </c>
      <c r="H171" s="243"/>
    </row>
    <row r="172" s="34" customFormat="1" spans="1:8">
      <c r="A172" s="50">
        <v>2013103</v>
      </c>
      <c r="B172" s="242" t="s">
        <v>70</v>
      </c>
      <c r="C172" s="243">
        <v>0</v>
      </c>
      <c r="D172" s="243"/>
      <c r="E172" s="243"/>
      <c r="F172" s="24">
        <f t="shared" si="18"/>
        <v>0</v>
      </c>
      <c r="G172" s="24">
        <f t="shared" si="19"/>
        <v>0</v>
      </c>
      <c r="H172" s="243"/>
    </row>
    <row r="173" s="34" customFormat="1" spans="1:8">
      <c r="A173" s="50">
        <v>2013105</v>
      </c>
      <c r="B173" s="242" t="s">
        <v>163</v>
      </c>
      <c r="C173" s="243">
        <v>0</v>
      </c>
      <c r="D173" s="243"/>
      <c r="E173" s="243"/>
      <c r="F173" s="24">
        <f t="shared" si="18"/>
        <v>0</v>
      </c>
      <c r="G173" s="24">
        <f t="shared" si="19"/>
        <v>0</v>
      </c>
      <c r="H173" s="243"/>
    </row>
    <row r="174" s="34" customFormat="1" spans="1:8">
      <c r="A174" s="50">
        <v>2013150</v>
      </c>
      <c r="B174" s="244" t="s">
        <v>77</v>
      </c>
      <c r="C174" s="243">
        <v>0</v>
      </c>
      <c r="D174" s="243"/>
      <c r="E174" s="243"/>
      <c r="F174" s="24">
        <f t="shared" si="18"/>
        <v>0</v>
      </c>
      <c r="G174" s="24">
        <f t="shared" si="19"/>
        <v>0</v>
      </c>
      <c r="H174" s="243"/>
    </row>
    <row r="175" s="34" customFormat="1" spans="1:8">
      <c r="A175" s="50">
        <v>2013199</v>
      </c>
      <c r="B175" s="244" t="s">
        <v>164</v>
      </c>
      <c r="C175" s="243">
        <v>0</v>
      </c>
      <c r="D175" s="243"/>
      <c r="E175" s="243"/>
      <c r="F175" s="24">
        <f t="shared" si="18"/>
        <v>0</v>
      </c>
      <c r="G175" s="24">
        <f t="shared" si="19"/>
        <v>0</v>
      </c>
      <c r="H175" s="243"/>
    </row>
    <row r="176" s="34" customFormat="1" spans="1:8">
      <c r="A176" s="50">
        <v>20132</v>
      </c>
      <c r="B176" s="244" t="s">
        <v>165</v>
      </c>
      <c r="C176" s="241">
        <f t="shared" ref="C176:H176" si="25">SUM(C177:C182)</f>
        <v>522</v>
      </c>
      <c r="D176" s="241">
        <f t="shared" si="25"/>
        <v>531</v>
      </c>
      <c r="E176" s="241">
        <f t="shared" si="25"/>
        <v>497</v>
      </c>
      <c r="F176" s="24">
        <f t="shared" si="18"/>
        <v>95.2107279693487</v>
      </c>
      <c r="G176" s="24">
        <f t="shared" si="19"/>
        <v>93.5969868173258</v>
      </c>
      <c r="H176" s="241">
        <f t="shared" si="25"/>
        <v>0</v>
      </c>
    </row>
    <row r="177" s="34" customFormat="1" spans="1:8">
      <c r="A177" s="50">
        <v>2013201</v>
      </c>
      <c r="B177" s="242" t="s">
        <v>68</v>
      </c>
      <c r="C177" s="243">
        <v>248</v>
      </c>
      <c r="D177" s="243">
        <v>230</v>
      </c>
      <c r="E177" s="243">
        <v>252</v>
      </c>
      <c r="F177" s="24">
        <f t="shared" si="18"/>
        <v>101.612903225806</v>
      </c>
      <c r="G177" s="24">
        <f t="shared" si="19"/>
        <v>109.565217391304</v>
      </c>
      <c r="H177" s="243"/>
    </row>
    <row r="178" s="34" customFormat="1" spans="1:8">
      <c r="A178" s="50">
        <v>2013202</v>
      </c>
      <c r="B178" s="242" t="s">
        <v>69</v>
      </c>
      <c r="C178" s="243">
        <v>248</v>
      </c>
      <c r="D178" s="243">
        <v>275</v>
      </c>
      <c r="E178" s="243">
        <v>245</v>
      </c>
      <c r="F178" s="24">
        <f t="shared" si="18"/>
        <v>98.7903225806452</v>
      </c>
      <c r="G178" s="24">
        <f t="shared" si="19"/>
        <v>89.0909090909091</v>
      </c>
      <c r="H178" s="243"/>
    </row>
    <row r="179" s="34" customFormat="1" spans="1:8">
      <c r="A179" s="50">
        <v>2013203</v>
      </c>
      <c r="B179" s="242" t="s">
        <v>70</v>
      </c>
      <c r="C179" s="243">
        <v>0</v>
      </c>
      <c r="D179" s="243">
        <v>0</v>
      </c>
      <c r="E179" s="243"/>
      <c r="F179" s="24">
        <f t="shared" si="18"/>
        <v>0</v>
      </c>
      <c r="G179" s="24">
        <f t="shared" si="19"/>
        <v>0</v>
      </c>
      <c r="H179" s="243"/>
    </row>
    <row r="180" s="34" customFormat="1" spans="1:8">
      <c r="A180" s="50">
        <v>2013204</v>
      </c>
      <c r="B180" s="242" t="s">
        <v>166</v>
      </c>
      <c r="C180" s="243">
        <v>26</v>
      </c>
      <c r="D180" s="243">
        <v>26</v>
      </c>
      <c r="E180" s="243"/>
      <c r="F180" s="24">
        <f t="shared" si="18"/>
        <v>0</v>
      </c>
      <c r="G180" s="24">
        <f t="shared" si="19"/>
        <v>0</v>
      </c>
      <c r="H180" s="243"/>
    </row>
    <row r="181" s="34" customFormat="1" spans="1:8">
      <c r="A181" s="50">
        <v>2013250</v>
      </c>
      <c r="B181" s="242" t="s">
        <v>77</v>
      </c>
      <c r="C181" s="243">
        <v>0</v>
      </c>
      <c r="D181" s="243"/>
      <c r="E181" s="243"/>
      <c r="F181" s="24">
        <f t="shared" si="18"/>
        <v>0</v>
      </c>
      <c r="G181" s="24">
        <f t="shared" si="19"/>
        <v>0</v>
      </c>
      <c r="H181" s="243"/>
    </row>
    <row r="182" s="34" customFormat="1" spans="1:8">
      <c r="A182" s="50">
        <v>2013299</v>
      </c>
      <c r="B182" s="244" t="s">
        <v>167</v>
      </c>
      <c r="C182" s="243">
        <v>0</v>
      </c>
      <c r="D182" s="243"/>
      <c r="E182" s="243"/>
      <c r="F182" s="24">
        <f t="shared" si="18"/>
        <v>0</v>
      </c>
      <c r="G182" s="24">
        <f t="shared" si="19"/>
        <v>0</v>
      </c>
      <c r="H182" s="243"/>
    </row>
    <row r="183" s="34" customFormat="1" spans="1:8">
      <c r="A183" s="50">
        <v>20133</v>
      </c>
      <c r="B183" s="244" t="s">
        <v>168</v>
      </c>
      <c r="C183" s="241">
        <f t="shared" ref="C183:H183" si="26">SUM(C184:C189)</f>
        <v>189</v>
      </c>
      <c r="D183" s="241">
        <f t="shared" si="26"/>
        <v>286</v>
      </c>
      <c r="E183" s="241">
        <f t="shared" si="26"/>
        <v>266</v>
      </c>
      <c r="F183" s="24">
        <f t="shared" si="18"/>
        <v>140.740740740741</v>
      </c>
      <c r="G183" s="24">
        <f t="shared" si="19"/>
        <v>93.006993006993</v>
      </c>
      <c r="H183" s="241">
        <f t="shared" si="26"/>
        <v>0</v>
      </c>
    </row>
    <row r="184" s="34" customFormat="1" spans="1:8">
      <c r="A184" s="50">
        <v>2013301</v>
      </c>
      <c r="B184" s="240" t="s">
        <v>68</v>
      </c>
      <c r="C184" s="243">
        <v>80</v>
      </c>
      <c r="D184" s="243">
        <v>106</v>
      </c>
      <c r="E184" s="243">
        <v>133</v>
      </c>
      <c r="F184" s="24">
        <f t="shared" si="18"/>
        <v>166.25</v>
      </c>
      <c r="G184" s="24">
        <f t="shared" si="19"/>
        <v>125.471698113208</v>
      </c>
      <c r="H184" s="243"/>
    </row>
    <row r="185" s="34" customFormat="1" spans="1:8">
      <c r="A185" s="50">
        <v>2013302</v>
      </c>
      <c r="B185" s="242" t="s">
        <v>69</v>
      </c>
      <c r="C185" s="243">
        <v>89</v>
      </c>
      <c r="D185" s="243">
        <v>160</v>
      </c>
      <c r="E185" s="243">
        <v>133</v>
      </c>
      <c r="F185" s="24">
        <f t="shared" si="18"/>
        <v>149.438202247191</v>
      </c>
      <c r="G185" s="24">
        <f t="shared" si="19"/>
        <v>83.125</v>
      </c>
      <c r="H185" s="243"/>
    </row>
    <row r="186" s="34" customFormat="1" spans="1:8">
      <c r="A186" s="50">
        <v>2013303</v>
      </c>
      <c r="B186" s="242" t="s">
        <v>70</v>
      </c>
      <c r="C186" s="243">
        <v>0</v>
      </c>
      <c r="D186" s="243">
        <v>0</v>
      </c>
      <c r="E186" s="243"/>
      <c r="F186" s="24">
        <f t="shared" si="18"/>
        <v>0</v>
      </c>
      <c r="G186" s="24">
        <f t="shared" si="19"/>
        <v>0</v>
      </c>
      <c r="H186" s="243"/>
    </row>
    <row r="187" s="34" customFormat="1" spans="1:8">
      <c r="A187" s="50">
        <v>2013304</v>
      </c>
      <c r="B187" s="242" t="s">
        <v>169</v>
      </c>
      <c r="C187" s="243">
        <v>0</v>
      </c>
      <c r="D187" s="243">
        <v>0</v>
      </c>
      <c r="E187" s="243"/>
      <c r="F187" s="24">
        <f t="shared" si="18"/>
        <v>0</v>
      </c>
      <c r="G187" s="24">
        <f t="shared" si="19"/>
        <v>0</v>
      </c>
      <c r="H187" s="243"/>
    </row>
    <row r="188" s="34" customFormat="1" spans="1:8">
      <c r="A188" s="50">
        <v>2013350</v>
      </c>
      <c r="B188" s="242" t="s">
        <v>77</v>
      </c>
      <c r="C188" s="243">
        <v>0</v>
      </c>
      <c r="D188" s="243">
        <v>0</v>
      </c>
      <c r="E188" s="243"/>
      <c r="F188" s="24">
        <f t="shared" si="18"/>
        <v>0</v>
      </c>
      <c r="G188" s="24">
        <f t="shared" si="19"/>
        <v>0</v>
      </c>
      <c r="H188" s="243"/>
    </row>
    <row r="189" s="34" customFormat="1" spans="1:8">
      <c r="A189" s="50">
        <v>2013399</v>
      </c>
      <c r="B189" s="244" t="s">
        <v>170</v>
      </c>
      <c r="C189" s="243">
        <v>20</v>
      </c>
      <c r="D189" s="243">
        <v>20</v>
      </c>
      <c r="E189" s="243"/>
      <c r="F189" s="24">
        <f t="shared" si="18"/>
        <v>0</v>
      </c>
      <c r="G189" s="24">
        <f t="shared" si="19"/>
        <v>0</v>
      </c>
      <c r="H189" s="243"/>
    </row>
    <row r="190" s="34" customFormat="1" spans="1:8">
      <c r="A190" s="50">
        <v>20134</v>
      </c>
      <c r="B190" s="244" t="s">
        <v>171</v>
      </c>
      <c r="C190" s="241">
        <f t="shared" ref="C190:H190" si="27">SUM(C191:C197)</f>
        <v>183</v>
      </c>
      <c r="D190" s="241">
        <f t="shared" si="27"/>
        <v>184</v>
      </c>
      <c r="E190" s="241">
        <f t="shared" si="27"/>
        <v>233</v>
      </c>
      <c r="F190" s="24">
        <f t="shared" si="18"/>
        <v>127.322404371585</v>
      </c>
      <c r="G190" s="24">
        <f t="shared" si="19"/>
        <v>126.630434782609</v>
      </c>
      <c r="H190" s="241">
        <f t="shared" si="27"/>
        <v>0</v>
      </c>
    </row>
    <row r="191" s="34" customFormat="1" spans="1:8">
      <c r="A191" s="50">
        <v>2013401</v>
      </c>
      <c r="B191" s="244" t="s">
        <v>68</v>
      </c>
      <c r="C191" s="243">
        <v>99</v>
      </c>
      <c r="D191" s="243">
        <v>98</v>
      </c>
      <c r="E191" s="243">
        <v>120</v>
      </c>
      <c r="F191" s="24">
        <f t="shared" si="18"/>
        <v>121.212121212121</v>
      </c>
      <c r="G191" s="24">
        <f t="shared" si="19"/>
        <v>122.448979591837</v>
      </c>
      <c r="H191" s="243"/>
    </row>
    <row r="192" s="34" customFormat="1" spans="1:8">
      <c r="A192" s="50">
        <v>2013402</v>
      </c>
      <c r="B192" s="242" t="s">
        <v>69</v>
      </c>
      <c r="C192" s="243">
        <v>40</v>
      </c>
      <c r="D192" s="243">
        <v>42</v>
      </c>
      <c r="E192" s="243">
        <v>113</v>
      </c>
      <c r="F192" s="24">
        <f t="shared" si="18"/>
        <v>282.5</v>
      </c>
      <c r="G192" s="24">
        <f t="shared" si="19"/>
        <v>269.047619047619</v>
      </c>
      <c r="H192" s="243"/>
    </row>
    <row r="193" s="34" customFormat="1" spans="1:8">
      <c r="A193" s="50">
        <v>2013403</v>
      </c>
      <c r="B193" s="242" t="s">
        <v>70</v>
      </c>
      <c r="C193" s="243">
        <v>0</v>
      </c>
      <c r="D193" s="243">
        <v>0</v>
      </c>
      <c r="E193" s="243"/>
      <c r="F193" s="24">
        <f t="shared" si="18"/>
        <v>0</v>
      </c>
      <c r="G193" s="24">
        <f t="shared" si="19"/>
        <v>0</v>
      </c>
      <c r="H193" s="243"/>
    </row>
    <row r="194" s="34" customFormat="1" spans="1:8">
      <c r="A194" s="50">
        <v>2013404</v>
      </c>
      <c r="B194" s="242" t="s">
        <v>172</v>
      </c>
      <c r="C194" s="243">
        <v>9</v>
      </c>
      <c r="D194" s="243">
        <v>9</v>
      </c>
      <c r="E194" s="243"/>
      <c r="F194" s="24">
        <f t="shared" si="18"/>
        <v>0</v>
      </c>
      <c r="G194" s="24">
        <f t="shared" si="19"/>
        <v>0</v>
      </c>
      <c r="H194" s="243"/>
    </row>
    <row r="195" s="34" customFormat="1" spans="1:8">
      <c r="A195" s="50">
        <v>2013405</v>
      </c>
      <c r="B195" s="242" t="s">
        <v>173</v>
      </c>
      <c r="C195" s="243">
        <v>0</v>
      </c>
      <c r="D195" s="243">
        <v>0</v>
      </c>
      <c r="E195" s="243"/>
      <c r="F195" s="24">
        <f t="shared" si="18"/>
        <v>0</v>
      </c>
      <c r="G195" s="24">
        <f t="shared" si="19"/>
        <v>0</v>
      </c>
      <c r="H195" s="243"/>
    </row>
    <row r="196" s="34" customFormat="1" spans="1:8">
      <c r="A196" s="50">
        <v>2013450</v>
      </c>
      <c r="B196" s="242" t="s">
        <v>77</v>
      </c>
      <c r="C196" s="243">
        <v>0</v>
      </c>
      <c r="D196" s="243">
        <v>0</v>
      </c>
      <c r="E196" s="243"/>
      <c r="F196" s="24">
        <f t="shared" si="18"/>
        <v>0</v>
      </c>
      <c r="G196" s="24">
        <f t="shared" si="19"/>
        <v>0</v>
      </c>
      <c r="H196" s="243"/>
    </row>
    <row r="197" s="34" customFormat="1" spans="1:8">
      <c r="A197" s="50">
        <v>2013499</v>
      </c>
      <c r="B197" s="244" t="s">
        <v>174</v>
      </c>
      <c r="C197" s="243">
        <v>35</v>
      </c>
      <c r="D197" s="243">
        <v>35</v>
      </c>
      <c r="E197" s="243"/>
      <c r="F197" s="24">
        <f t="shared" si="18"/>
        <v>0</v>
      </c>
      <c r="G197" s="24">
        <f t="shared" si="19"/>
        <v>0</v>
      </c>
      <c r="H197" s="243"/>
    </row>
    <row r="198" s="34" customFormat="1" spans="1:8">
      <c r="A198" s="50">
        <v>20135</v>
      </c>
      <c r="B198" s="244" t="s">
        <v>175</v>
      </c>
      <c r="C198" s="241">
        <f t="shared" ref="C198:H198" si="28">SUM(C199:C203)</f>
        <v>0</v>
      </c>
      <c r="D198" s="241">
        <f t="shared" si="28"/>
        <v>0</v>
      </c>
      <c r="E198" s="241">
        <f t="shared" si="28"/>
        <v>0</v>
      </c>
      <c r="F198" s="24">
        <f t="shared" ref="F198:F261" si="29">IF(C198&gt;0,E198/C198*100,)</f>
        <v>0</v>
      </c>
      <c r="G198" s="24">
        <f t="shared" ref="G198:G261" si="30">IF(D198&gt;0,E198/D198*100,)</f>
        <v>0</v>
      </c>
      <c r="H198" s="241">
        <f t="shared" si="28"/>
        <v>0</v>
      </c>
    </row>
    <row r="199" s="34" customFormat="1" spans="1:8">
      <c r="A199" s="50">
        <v>2013501</v>
      </c>
      <c r="B199" s="244" t="s">
        <v>68</v>
      </c>
      <c r="C199" s="243"/>
      <c r="D199" s="243"/>
      <c r="E199" s="243"/>
      <c r="F199" s="24">
        <f t="shared" si="29"/>
        <v>0</v>
      </c>
      <c r="G199" s="24">
        <f t="shared" si="30"/>
        <v>0</v>
      </c>
      <c r="H199" s="243"/>
    </row>
    <row r="200" s="34" customFormat="1" spans="1:8">
      <c r="A200" s="50">
        <v>2013502</v>
      </c>
      <c r="B200" s="240" t="s">
        <v>69</v>
      </c>
      <c r="C200" s="243"/>
      <c r="D200" s="243"/>
      <c r="E200" s="243"/>
      <c r="F200" s="24">
        <f t="shared" si="29"/>
        <v>0</v>
      </c>
      <c r="G200" s="24">
        <f t="shared" si="30"/>
        <v>0</v>
      </c>
      <c r="H200" s="243"/>
    </row>
    <row r="201" s="34" customFormat="1" spans="1:8">
      <c r="A201" s="50">
        <v>2013503</v>
      </c>
      <c r="B201" s="242" t="s">
        <v>70</v>
      </c>
      <c r="C201" s="243"/>
      <c r="D201" s="243"/>
      <c r="E201" s="243"/>
      <c r="F201" s="24">
        <f t="shared" si="29"/>
        <v>0</v>
      </c>
      <c r="G201" s="24">
        <f t="shared" si="30"/>
        <v>0</v>
      </c>
      <c r="H201" s="243"/>
    </row>
    <row r="202" s="34" customFormat="1" spans="1:8">
      <c r="A202" s="50">
        <v>2013550</v>
      </c>
      <c r="B202" s="242" t="s">
        <v>77</v>
      </c>
      <c r="C202" s="243"/>
      <c r="D202" s="243"/>
      <c r="E202" s="243"/>
      <c r="F202" s="24">
        <f t="shared" si="29"/>
        <v>0</v>
      </c>
      <c r="G202" s="24">
        <f t="shared" si="30"/>
        <v>0</v>
      </c>
      <c r="H202" s="243"/>
    </row>
    <row r="203" s="34" customFormat="1" spans="1:8">
      <c r="A203" s="50">
        <v>2013599</v>
      </c>
      <c r="B203" s="242" t="s">
        <v>176</v>
      </c>
      <c r="C203" s="243"/>
      <c r="D203" s="243"/>
      <c r="E203" s="243"/>
      <c r="F203" s="24">
        <f t="shared" si="29"/>
        <v>0</v>
      </c>
      <c r="G203" s="24">
        <f t="shared" si="30"/>
        <v>0</v>
      </c>
      <c r="H203" s="243"/>
    </row>
    <row r="204" s="34" customFormat="1" spans="1:8">
      <c r="A204" s="50">
        <v>20136</v>
      </c>
      <c r="B204" s="244" t="s">
        <v>177</v>
      </c>
      <c r="C204" s="241">
        <f t="shared" ref="C204:H204" si="31">SUM(C205:C209)</f>
        <v>183</v>
      </c>
      <c r="D204" s="241">
        <f t="shared" si="31"/>
        <v>229</v>
      </c>
      <c r="E204" s="241">
        <f t="shared" si="31"/>
        <v>214</v>
      </c>
      <c r="F204" s="24">
        <f t="shared" si="29"/>
        <v>116.939890710383</v>
      </c>
      <c r="G204" s="24">
        <f t="shared" si="30"/>
        <v>93.4497816593886</v>
      </c>
      <c r="H204" s="241">
        <f t="shared" si="31"/>
        <v>0</v>
      </c>
    </row>
    <row r="205" s="34" customFormat="1" spans="1:8">
      <c r="A205" s="50">
        <v>2013601</v>
      </c>
      <c r="B205" s="244" t="s">
        <v>68</v>
      </c>
      <c r="C205" s="243">
        <v>64</v>
      </c>
      <c r="D205" s="243">
        <v>75</v>
      </c>
      <c r="E205" s="243">
        <v>77</v>
      </c>
      <c r="F205" s="24">
        <f t="shared" si="29"/>
        <v>120.3125</v>
      </c>
      <c r="G205" s="24">
        <f t="shared" si="30"/>
        <v>102.666666666667</v>
      </c>
      <c r="H205" s="243"/>
    </row>
    <row r="206" s="34" customFormat="1" spans="1:8">
      <c r="A206" s="50">
        <v>2013602</v>
      </c>
      <c r="B206" s="244" t="s">
        <v>69</v>
      </c>
      <c r="C206" s="243">
        <v>119</v>
      </c>
      <c r="D206" s="243">
        <v>128</v>
      </c>
      <c r="E206" s="243">
        <v>137</v>
      </c>
      <c r="F206" s="24">
        <f t="shared" si="29"/>
        <v>115.126050420168</v>
      </c>
      <c r="G206" s="24">
        <f t="shared" si="30"/>
        <v>107.03125</v>
      </c>
      <c r="H206" s="243"/>
    </row>
    <row r="207" s="34" customFormat="1" spans="1:8">
      <c r="A207" s="50">
        <v>2013603</v>
      </c>
      <c r="B207" s="242" t="s">
        <v>70</v>
      </c>
      <c r="C207" s="243"/>
      <c r="D207" s="243">
        <v>0</v>
      </c>
      <c r="E207" s="243"/>
      <c r="F207" s="24">
        <f t="shared" si="29"/>
        <v>0</v>
      </c>
      <c r="G207" s="24">
        <f t="shared" si="30"/>
        <v>0</v>
      </c>
      <c r="H207" s="243"/>
    </row>
    <row r="208" s="34" customFormat="1" spans="1:8">
      <c r="A208" s="50">
        <v>2013650</v>
      </c>
      <c r="B208" s="242" t="s">
        <v>77</v>
      </c>
      <c r="C208" s="243"/>
      <c r="D208" s="243">
        <v>0</v>
      </c>
      <c r="E208" s="243"/>
      <c r="F208" s="24">
        <f t="shared" si="29"/>
        <v>0</v>
      </c>
      <c r="G208" s="24">
        <f t="shared" si="30"/>
        <v>0</v>
      </c>
      <c r="H208" s="243"/>
    </row>
    <row r="209" s="34" customFormat="1" spans="1:8">
      <c r="A209" s="50">
        <v>2013699</v>
      </c>
      <c r="B209" s="242" t="s">
        <v>178</v>
      </c>
      <c r="C209" s="243"/>
      <c r="D209" s="243">
        <v>26</v>
      </c>
      <c r="E209" s="243"/>
      <c r="F209" s="24">
        <f t="shared" si="29"/>
        <v>0</v>
      </c>
      <c r="G209" s="24">
        <f t="shared" si="30"/>
        <v>0</v>
      </c>
      <c r="H209" s="243"/>
    </row>
    <row r="210" s="34" customFormat="1" spans="1:8">
      <c r="A210" s="50">
        <v>20137</v>
      </c>
      <c r="B210" s="242" t="s">
        <v>179</v>
      </c>
      <c r="C210" s="241">
        <f t="shared" ref="C210:H210" si="32">SUM(C211:C216)</f>
        <v>0</v>
      </c>
      <c r="D210" s="241">
        <f t="shared" si="32"/>
        <v>0</v>
      </c>
      <c r="E210" s="241">
        <f t="shared" si="32"/>
        <v>0</v>
      </c>
      <c r="F210" s="24">
        <f t="shared" si="29"/>
        <v>0</v>
      </c>
      <c r="G210" s="24">
        <f t="shared" si="30"/>
        <v>0</v>
      </c>
      <c r="H210" s="241">
        <f t="shared" si="32"/>
        <v>0</v>
      </c>
    </row>
    <row r="211" s="34" customFormat="1" spans="1:8">
      <c r="A211" s="50">
        <v>2013701</v>
      </c>
      <c r="B211" s="242" t="s">
        <v>68</v>
      </c>
      <c r="C211" s="243"/>
      <c r="D211" s="243"/>
      <c r="E211" s="243"/>
      <c r="F211" s="24">
        <f t="shared" si="29"/>
        <v>0</v>
      </c>
      <c r="G211" s="24">
        <f t="shared" si="30"/>
        <v>0</v>
      </c>
      <c r="H211" s="243"/>
    </row>
    <row r="212" s="34" customFormat="1" spans="1:8">
      <c r="A212" s="50">
        <v>2013702</v>
      </c>
      <c r="B212" s="242" t="s">
        <v>69</v>
      </c>
      <c r="C212" s="243"/>
      <c r="D212" s="243"/>
      <c r="E212" s="243"/>
      <c r="F212" s="24">
        <f t="shared" si="29"/>
        <v>0</v>
      </c>
      <c r="G212" s="24">
        <f t="shared" si="30"/>
        <v>0</v>
      </c>
      <c r="H212" s="243"/>
    </row>
    <row r="213" s="34" customFormat="1" spans="1:8">
      <c r="A213" s="50">
        <v>2013703</v>
      </c>
      <c r="B213" s="242" t="s">
        <v>70</v>
      </c>
      <c r="C213" s="243"/>
      <c r="D213" s="243"/>
      <c r="E213" s="243"/>
      <c r="F213" s="24">
        <f t="shared" si="29"/>
        <v>0</v>
      </c>
      <c r="G213" s="24">
        <f t="shared" si="30"/>
        <v>0</v>
      </c>
      <c r="H213" s="243"/>
    </row>
    <row r="214" s="34" customFormat="1" spans="1:8">
      <c r="A214" s="50">
        <v>2013704</v>
      </c>
      <c r="B214" s="242" t="s">
        <v>180</v>
      </c>
      <c r="C214" s="243"/>
      <c r="D214" s="243"/>
      <c r="E214" s="243"/>
      <c r="F214" s="24">
        <f t="shared" si="29"/>
        <v>0</v>
      </c>
      <c r="G214" s="24">
        <f t="shared" si="30"/>
        <v>0</v>
      </c>
      <c r="H214" s="243"/>
    </row>
    <row r="215" s="34" customFormat="1" spans="1:8">
      <c r="A215" s="50">
        <v>2013750</v>
      </c>
      <c r="B215" s="242" t="s">
        <v>77</v>
      </c>
      <c r="C215" s="243"/>
      <c r="D215" s="243"/>
      <c r="E215" s="243"/>
      <c r="F215" s="24">
        <f t="shared" si="29"/>
        <v>0</v>
      </c>
      <c r="G215" s="24">
        <f t="shared" si="30"/>
        <v>0</v>
      </c>
      <c r="H215" s="243"/>
    </row>
    <row r="216" s="34" customFormat="1" spans="1:8">
      <c r="A216" s="50">
        <v>2013799</v>
      </c>
      <c r="B216" s="242" t="s">
        <v>181</v>
      </c>
      <c r="C216" s="243"/>
      <c r="D216" s="243"/>
      <c r="E216" s="243"/>
      <c r="F216" s="24">
        <f t="shared" si="29"/>
        <v>0</v>
      </c>
      <c r="G216" s="24">
        <f t="shared" si="30"/>
        <v>0</v>
      </c>
      <c r="H216" s="243"/>
    </row>
    <row r="217" s="34" customFormat="1" spans="1:8">
      <c r="A217" s="50">
        <v>20138</v>
      </c>
      <c r="B217" s="242" t="s">
        <v>182</v>
      </c>
      <c r="C217" s="241">
        <f t="shared" ref="C217:H217" si="33">SUM(C218:C231)</f>
        <v>985</v>
      </c>
      <c r="D217" s="241">
        <f t="shared" si="33"/>
        <v>1102</v>
      </c>
      <c r="E217" s="241">
        <f t="shared" si="33"/>
        <v>1180</v>
      </c>
      <c r="F217" s="24">
        <f t="shared" si="29"/>
        <v>119.796954314721</v>
      </c>
      <c r="G217" s="24">
        <f t="shared" si="30"/>
        <v>107.078039927405</v>
      </c>
      <c r="H217" s="241">
        <f t="shared" si="33"/>
        <v>0</v>
      </c>
    </row>
    <row r="218" s="34" customFormat="1" spans="1:8">
      <c r="A218" s="50">
        <v>2013801</v>
      </c>
      <c r="B218" s="242" t="s">
        <v>68</v>
      </c>
      <c r="C218" s="243">
        <v>762</v>
      </c>
      <c r="D218" s="243">
        <v>782</v>
      </c>
      <c r="E218" s="243">
        <v>870</v>
      </c>
      <c r="F218" s="24">
        <f t="shared" si="29"/>
        <v>114.173228346457</v>
      </c>
      <c r="G218" s="24">
        <f t="shared" si="30"/>
        <v>111.253196930946</v>
      </c>
      <c r="H218" s="243"/>
    </row>
    <row r="219" s="34" customFormat="1" spans="1:8">
      <c r="A219" s="50">
        <v>2013802</v>
      </c>
      <c r="B219" s="242" t="s">
        <v>69</v>
      </c>
      <c r="C219" s="243">
        <v>115</v>
      </c>
      <c r="D219" s="243">
        <v>119</v>
      </c>
      <c r="E219" s="243">
        <v>248</v>
      </c>
      <c r="F219" s="24">
        <f t="shared" si="29"/>
        <v>215.652173913043</v>
      </c>
      <c r="G219" s="24">
        <f t="shared" si="30"/>
        <v>208.403361344538</v>
      </c>
      <c r="H219" s="243"/>
    </row>
    <row r="220" s="34" customFormat="1" spans="1:8">
      <c r="A220" s="50">
        <v>2013803</v>
      </c>
      <c r="B220" s="242" t="s">
        <v>70</v>
      </c>
      <c r="C220" s="243">
        <v>0</v>
      </c>
      <c r="D220" s="243">
        <v>0</v>
      </c>
      <c r="E220" s="243"/>
      <c r="F220" s="24">
        <f t="shared" si="29"/>
        <v>0</v>
      </c>
      <c r="G220" s="24">
        <f t="shared" si="30"/>
        <v>0</v>
      </c>
      <c r="H220" s="243"/>
    </row>
    <row r="221" s="34" customFormat="1" spans="1:8">
      <c r="A221" s="50">
        <v>2013804</v>
      </c>
      <c r="B221" s="242" t="s">
        <v>183</v>
      </c>
      <c r="C221" s="243">
        <v>7</v>
      </c>
      <c r="D221" s="243">
        <v>7</v>
      </c>
      <c r="E221" s="243">
        <v>3</v>
      </c>
      <c r="F221" s="24">
        <f t="shared" si="29"/>
        <v>42.8571428571429</v>
      </c>
      <c r="G221" s="24">
        <f t="shared" si="30"/>
        <v>42.8571428571429</v>
      </c>
      <c r="H221" s="243"/>
    </row>
    <row r="222" s="34" customFormat="1" spans="1:8">
      <c r="A222" s="50">
        <v>2013805</v>
      </c>
      <c r="B222" s="242" t="s">
        <v>184</v>
      </c>
      <c r="C222" s="243">
        <v>31</v>
      </c>
      <c r="D222" s="243">
        <v>31</v>
      </c>
      <c r="E222" s="243">
        <v>20</v>
      </c>
      <c r="F222" s="24">
        <f t="shared" si="29"/>
        <v>64.5161290322581</v>
      </c>
      <c r="G222" s="24">
        <f t="shared" si="30"/>
        <v>64.5161290322581</v>
      </c>
      <c r="H222" s="243"/>
    </row>
    <row r="223" s="34" customFormat="1" spans="1:8">
      <c r="A223" s="50">
        <v>2013808</v>
      </c>
      <c r="B223" s="242" t="s">
        <v>109</v>
      </c>
      <c r="C223" s="243">
        <v>0</v>
      </c>
      <c r="D223" s="243">
        <v>0</v>
      </c>
      <c r="E223" s="243"/>
      <c r="F223" s="24">
        <f t="shared" si="29"/>
        <v>0</v>
      </c>
      <c r="G223" s="24">
        <f t="shared" si="30"/>
        <v>0</v>
      </c>
      <c r="H223" s="243"/>
    </row>
    <row r="224" s="34" customFormat="1" spans="1:8">
      <c r="A224" s="50">
        <v>2013810</v>
      </c>
      <c r="B224" s="242" t="s">
        <v>185</v>
      </c>
      <c r="C224" s="243">
        <v>13</v>
      </c>
      <c r="D224" s="243">
        <v>13</v>
      </c>
      <c r="E224" s="243">
        <v>6</v>
      </c>
      <c r="F224" s="24">
        <f t="shared" si="29"/>
        <v>46.1538461538462</v>
      </c>
      <c r="G224" s="24">
        <f t="shared" si="30"/>
        <v>46.1538461538462</v>
      </c>
      <c r="H224" s="243"/>
    </row>
    <row r="225" s="34" customFormat="1" spans="1:8">
      <c r="A225" s="50">
        <v>2013812</v>
      </c>
      <c r="B225" s="242" t="s">
        <v>186</v>
      </c>
      <c r="C225" s="243">
        <v>3</v>
      </c>
      <c r="D225" s="243">
        <v>46</v>
      </c>
      <c r="E225" s="243">
        <f>3+7</f>
        <v>10</v>
      </c>
      <c r="F225" s="24">
        <f t="shared" si="29"/>
        <v>333.333333333333</v>
      </c>
      <c r="G225" s="24">
        <f t="shared" si="30"/>
        <v>21.7391304347826</v>
      </c>
      <c r="H225" s="243"/>
    </row>
    <row r="226" s="34" customFormat="1" spans="1:8">
      <c r="A226" s="50">
        <v>2013813</v>
      </c>
      <c r="B226" s="242" t="s">
        <v>187</v>
      </c>
      <c r="C226" s="243">
        <v>0</v>
      </c>
      <c r="D226" s="243">
        <v>0</v>
      </c>
      <c r="E226" s="243"/>
      <c r="F226" s="24">
        <f t="shared" si="29"/>
        <v>0</v>
      </c>
      <c r="G226" s="24">
        <f t="shared" si="30"/>
        <v>0</v>
      </c>
      <c r="H226" s="243"/>
    </row>
    <row r="227" s="34" customFormat="1" spans="1:8">
      <c r="A227" s="50">
        <v>2013814</v>
      </c>
      <c r="B227" s="242" t="s">
        <v>188</v>
      </c>
      <c r="C227" s="243">
        <v>2</v>
      </c>
      <c r="D227" s="243">
        <v>2</v>
      </c>
      <c r="E227" s="243"/>
      <c r="F227" s="24">
        <f t="shared" si="29"/>
        <v>0</v>
      </c>
      <c r="G227" s="24">
        <f t="shared" si="30"/>
        <v>0</v>
      </c>
      <c r="H227" s="243"/>
    </row>
    <row r="228" s="34" customFormat="1" spans="1:8">
      <c r="A228" s="50">
        <v>2013815</v>
      </c>
      <c r="B228" s="242" t="s">
        <v>189</v>
      </c>
      <c r="C228" s="243">
        <v>2</v>
      </c>
      <c r="D228" s="243">
        <v>2</v>
      </c>
      <c r="E228" s="243">
        <v>2</v>
      </c>
      <c r="F228" s="24">
        <f t="shared" si="29"/>
        <v>100</v>
      </c>
      <c r="G228" s="24">
        <f t="shared" si="30"/>
        <v>100</v>
      </c>
      <c r="H228" s="243"/>
    </row>
    <row r="229" s="34" customFormat="1" spans="1:8">
      <c r="A229" s="50">
        <v>2013816</v>
      </c>
      <c r="B229" s="242" t="s">
        <v>190</v>
      </c>
      <c r="C229" s="243">
        <v>8</v>
      </c>
      <c r="D229" s="243">
        <v>52</v>
      </c>
      <c r="E229" s="243">
        <f>8+1</f>
        <v>9</v>
      </c>
      <c r="F229" s="24">
        <f t="shared" si="29"/>
        <v>112.5</v>
      </c>
      <c r="G229" s="24">
        <f t="shared" si="30"/>
        <v>17.3076923076923</v>
      </c>
      <c r="H229" s="243"/>
    </row>
    <row r="230" s="34" customFormat="1" spans="1:8">
      <c r="A230" s="50">
        <v>2013850</v>
      </c>
      <c r="B230" s="242" t="s">
        <v>77</v>
      </c>
      <c r="C230" s="243">
        <v>0</v>
      </c>
      <c r="D230" s="243">
        <v>0</v>
      </c>
      <c r="E230" s="243"/>
      <c r="F230" s="24">
        <f t="shared" si="29"/>
        <v>0</v>
      </c>
      <c r="G230" s="24">
        <f t="shared" si="30"/>
        <v>0</v>
      </c>
      <c r="H230" s="243"/>
    </row>
    <row r="231" s="34" customFormat="1" spans="1:8">
      <c r="A231" s="50">
        <v>2013899</v>
      </c>
      <c r="B231" s="242" t="s">
        <v>191</v>
      </c>
      <c r="C231" s="243">
        <v>42</v>
      </c>
      <c r="D231" s="243">
        <v>48</v>
      </c>
      <c r="E231" s="243">
        <v>12</v>
      </c>
      <c r="F231" s="24">
        <f t="shared" si="29"/>
        <v>28.5714285714286</v>
      </c>
      <c r="G231" s="24">
        <f t="shared" si="30"/>
        <v>25</v>
      </c>
      <c r="H231" s="243"/>
    </row>
    <row r="232" s="34" customFormat="1" spans="1:8">
      <c r="A232" s="50">
        <v>20199</v>
      </c>
      <c r="B232" s="242" t="s">
        <v>192</v>
      </c>
      <c r="C232" s="241">
        <f t="shared" ref="C232:H232" si="34">SUM(C233:C234)</f>
        <v>11552</v>
      </c>
      <c r="D232" s="241">
        <f t="shared" si="34"/>
        <v>8734</v>
      </c>
      <c r="E232" s="241">
        <f t="shared" si="34"/>
        <v>1593</v>
      </c>
      <c r="F232" s="24">
        <f t="shared" si="29"/>
        <v>13.7898199445983</v>
      </c>
      <c r="G232" s="24">
        <f t="shared" si="30"/>
        <v>18.239065720174</v>
      </c>
      <c r="H232" s="241">
        <f t="shared" si="34"/>
        <v>0</v>
      </c>
    </row>
    <row r="233" s="34" customFormat="1" spans="1:8">
      <c r="A233" s="50">
        <v>2019901</v>
      </c>
      <c r="B233" s="244" t="s">
        <v>193</v>
      </c>
      <c r="C233" s="243"/>
      <c r="D233" s="243"/>
      <c r="E233" s="243"/>
      <c r="F233" s="24">
        <f t="shared" si="29"/>
        <v>0</v>
      </c>
      <c r="G233" s="24">
        <f t="shared" si="30"/>
        <v>0</v>
      </c>
      <c r="H233" s="243"/>
    </row>
    <row r="234" s="34" customFormat="1" spans="1:8">
      <c r="A234" s="50">
        <v>2019999</v>
      </c>
      <c r="B234" s="244" t="s">
        <v>194</v>
      </c>
      <c r="C234" s="243">
        <v>11552</v>
      </c>
      <c r="D234" s="243">
        <v>8734</v>
      </c>
      <c r="E234" s="243">
        <f>1813+30-250</f>
        <v>1593</v>
      </c>
      <c r="F234" s="24">
        <f t="shared" si="29"/>
        <v>13.7898199445983</v>
      </c>
      <c r="G234" s="24">
        <f t="shared" si="30"/>
        <v>18.239065720174</v>
      </c>
      <c r="H234" s="243"/>
    </row>
    <row r="235" s="34" customFormat="1" spans="1:8">
      <c r="A235" s="50">
        <v>202</v>
      </c>
      <c r="B235" s="240" t="s">
        <v>195</v>
      </c>
      <c r="C235" s="241">
        <f t="shared" ref="C235:H235" si="35">SUM(C236:C238)</f>
        <v>0</v>
      </c>
      <c r="D235" s="241">
        <f t="shared" si="35"/>
        <v>0</v>
      </c>
      <c r="E235" s="241">
        <f t="shared" si="35"/>
        <v>0</v>
      </c>
      <c r="F235" s="24">
        <f t="shared" si="29"/>
        <v>0</v>
      </c>
      <c r="G235" s="24">
        <f t="shared" si="30"/>
        <v>0</v>
      </c>
      <c r="H235" s="241">
        <f t="shared" si="35"/>
        <v>0</v>
      </c>
    </row>
    <row r="236" s="34" customFormat="1" spans="1:8">
      <c r="A236" s="50">
        <v>20205</v>
      </c>
      <c r="B236" s="242" t="s">
        <v>196</v>
      </c>
      <c r="C236" s="243"/>
      <c r="D236" s="243"/>
      <c r="E236" s="243"/>
      <c r="F236" s="24">
        <f t="shared" si="29"/>
        <v>0</v>
      </c>
      <c r="G236" s="24">
        <f t="shared" si="30"/>
        <v>0</v>
      </c>
      <c r="H236" s="243"/>
    </row>
    <row r="237" s="34" customFormat="1" spans="1:8">
      <c r="A237" s="50">
        <v>20206</v>
      </c>
      <c r="B237" s="242" t="s">
        <v>197</v>
      </c>
      <c r="C237" s="52"/>
      <c r="D237" s="52"/>
      <c r="E237" s="52"/>
      <c r="F237" s="24">
        <f t="shared" si="29"/>
        <v>0</v>
      </c>
      <c r="G237" s="24">
        <f t="shared" si="30"/>
        <v>0</v>
      </c>
      <c r="H237" s="52"/>
    </row>
    <row r="238" s="34" customFormat="1" spans="1:8">
      <c r="A238" s="50">
        <v>20299</v>
      </c>
      <c r="B238" s="242" t="s">
        <v>198</v>
      </c>
      <c r="C238" s="243"/>
      <c r="D238" s="243"/>
      <c r="E238" s="243"/>
      <c r="F238" s="24">
        <f t="shared" si="29"/>
        <v>0</v>
      </c>
      <c r="G238" s="24">
        <f t="shared" si="30"/>
        <v>0</v>
      </c>
      <c r="H238" s="243"/>
    </row>
    <row r="239" s="34" customFormat="1" spans="1:8">
      <c r="A239" s="50">
        <v>203</v>
      </c>
      <c r="B239" s="240" t="s">
        <v>199</v>
      </c>
      <c r="C239" s="241">
        <f t="shared" ref="C239:H239" si="36">SUM(C240,C248)</f>
        <v>220</v>
      </c>
      <c r="D239" s="241">
        <f t="shared" si="36"/>
        <v>236</v>
      </c>
      <c r="E239" s="241">
        <f t="shared" si="36"/>
        <v>223</v>
      </c>
      <c r="F239" s="24">
        <f t="shared" si="29"/>
        <v>101.363636363636</v>
      </c>
      <c r="G239" s="24">
        <f t="shared" si="30"/>
        <v>94.4915254237288</v>
      </c>
      <c r="H239" s="241">
        <f t="shared" si="36"/>
        <v>0</v>
      </c>
    </row>
    <row r="240" s="34" customFormat="1" spans="1:8">
      <c r="A240" s="50">
        <v>20306</v>
      </c>
      <c r="B240" s="244" t="s">
        <v>200</v>
      </c>
      <c r="C240" s="241">
        <f t="shared" ref="C240:H240" si="37">SUM(C241:C247)</f>
        <v>209</v>
      </c>
      <c r="D240" s="241">
        <f t="shared" si="37"/>
        <v>225</v>
      </c>
      <c r="E240" s="241">
        <f t="shared" si="37"/>
        <v>79</v>
      </c>
      <c r="F240" s="24">
        <f t="shared" si="29"/>
        <v>37.799043062201</v>
      </c>
      <c r="G240" s="24">
        <f t="shared" si="30"/>
        <v>35.1111111111111</v>
      </c>
      <c r="H240" s="241">
        <f t="shared" si="37"/>
        <v>0</v>
      </c>
    </row>
    <row r="241" s="34" customFormat="1" spans="1:8">
      <c r="A241" s="50">
        <v>2030601</v>
      </c>
      <c r="B241" s="244" t="s">
        <v>201</v>
      </c>
      <c r="C241" s="243">
        <v>18</v>
      </c>
      <c r="D241" s="243">
        <v>18</v>
      </c>
      <c r="E241" s="243">
        <v>18</v>
      </c>
      <c r="F241" s="24">
        <f t="shared" si="29"/>
        <v>100</v>
      </c>
      <c r="G241" s="24">
        <f t="shared" si="30"/>
        <v>100</v>
      </c>
      <c r="H241" s="243"/>
    </row>
    <row r="242" s="34" customFormat="1" spans="1:8">
      <c r="A242" s="50">
        <v>2030602</v>
      </c>
      <c r="B242" s="242" t="s">
        <v>202</v>
      </c>
      <c r="C242" s="243"/>
      <c r="D242" s="243"/>
      <c r="E242" s="243"/>
      <c r="F242" s="24">
        <f t="shared" si="29"/>
        <v>0</v>
      </c>
      <c r="G242" s="24">
        <f t="shared" si="30"/>
        <v>0</v>
      </c>
      <c r="H242" s="243"/>
    </row>
    <row r="243" s="34" customFormat="1" spans="1:8">
      <c r="A243" s="50">
        <v>2030603</v>
      </c>
      <c r="B243" s="242" t="s">
        <v>203</v>
      </c>
      <c r="C243" s="243"/>
      <c r="D243" s="243"/>
      <c r="E243" s="243"/>
      <c r="F243" s="24">
        <f t="shared" si="29"/>
        <v>0</v>
      </c>
      <c r="G243" s="24">
        <f t="shared" si="30"/>
        <v>0</v>
      </c>
      <c r="H243" s="243"/>
    </row>
    <row r="244" s="34" customFormat="1" spans="1:8">
      <c r="A244" s="50">
        <v>2030604</v>
      </c>
      <c r="B244" s="242" t="s">
        <v>204</v>
      </c>
      <c r="C244" s="243"/>
      <c r="D244" s="243"/>
      <c r="E244" s="243"/>
      <c r="F244" s="24">
        <f t="shared" si="29"/>
        <v>0</v>
      </c>
      <c r="G244" s="24">
        <f t="shared" si="30"/>
        <v>0</v>
      </c>
      <c r="H244" s="243"/>
    </row>
    <row r="245" s="34" customFormat="1" spans="1:8">
      <c r="A245" s="50">
        <v>2030607</v>
      </c>
      <c r="B245" s="244" t="s">
        <v>205</v>
      </c>
      <c r="C245" s="243">
        <v>110</v>
      </c>
      <c r="D245" s="243">
        <v>115</v>
      </c>
      <c r="E245" s="243">
        <f>12+31</f>
        <v>43</v>
      </c>
      <c r="F245" s="24">
        <f t="shared" si="29"/>
        <v>39.0909090909091</v>
      </c>
      <c r="G245" s="24">
        <f t="shared" si="30"/>
        <v>37.3913043478261</v>
      </c>
      <c r="H245" s="243"/>
    </row>
    <row r="246" s="34" customFormat="1" spans="1:8">
      <c r="A246" s="50">
        <v>2030608</v>
      </c>
      <c r="B246" s="244" t="s">
        <v>206</v>
      </c>
      <c r="C246" s="243"/>
      <c r="D246" s="243"/>
      <c r="E246" s="243"/>
      <c r="F246" s="24">
        <f t="shared" si="29"/>
        <v>0</v>
      </c>
      <c r="G246" s="24">
        <f t="shared" si="30"/>
        <v>0</v>
      </c>
      <c r="H246" s="243"/>
    </row>
    <row r="247" s="34" customFormat="1" spans="1:8">
      <c r="A247" s="50">
        <v>2030699</v>
      </c>
      <c r="B247" s="244" t="s">
        <v>207</v>
      </c>
      <c r="C247" s="243">
        <v>81</v>
      </c>
      <c r="D247" s="243">
        <v>92</v>
      </c>
      <c r="E247" s="243">
        <v>18</v>
      </c>
      <c r="F247" s="24">
        <f t="shared" si="29"/>
        <v>22.2222222222222</v>
      </c>
      <c r="G247" s="24">
        <f t="shared" si="30"/>
        <v>19.5652173913043</v>
      </c>
      <c r="H247" s="243"/>
    </row>
    <row r="248" s="34" customFormat="1" spans="1:8">
      <c r="A248" s="50">
        <v>20399</v>
      </c>
      <c r="B248" s="244" t="s">
        <v>208</v>
      </c>
      <c r="C248" s="243">
        <v>11</v>
      </c>
      <c r="D248" s="243">
        <v>11</v>
      </c>
      <c r="E248" s="243">
        <v>144</v>
      </c>
      <c r="F248" s="24">
        <f t="shared" si="29"/>
        <v>1309.09090909091</v>
      </c>
      <c r="G248" s="24">
        <f t="shared" si="30"/>
        <v>1309.09090909091</v>
      </c>
      <c r="H248" s="243"/>
    </row>
    <row r="249" s="34" customFormat="1" spans="1:8">
      <c r="A249" s="50">
        <v>204</v>
      </c>
      <c r="B249" s="240" t="s">
        <v>209</v>
      </c>
      <c r="C249" s="241">
        <f t="shared" ref="C249:H249" si="38">SUM(C250,C253,C264,C271,C279,C288,C302,C312,C322,C330,C336)</f>
        <v>8098</v>
      </c>
      <c r="D249" s="241">
        <f t="shared" si="38"/>
        <v>8004</v>
      </c>
      <c r="E249" s="241">
        <f t="shared" si="38"/>
        <v>9605</v>
      </c>
      <c r="F249" s="24">
        <f t="shared" si="29"/>
        <v>118.609533218079</v>
      </c>
      <c r="G249" s="24">
        <f t="shared" si="30"/>
        <v>120.002498750625</v>
      </c>
      <c r="H249" s="241">
        <f t="shared" si="38"/>
        <v>0</v>
      </c>
    </row>
    <row r="250" s="34" customFormat="1" spans="1:8">
      <c r="A250" s="50">
        <v>20401</v>
      </c>
      <c r="B250" s="242" t="s">
        <v>210</v>
      </c>
      <c r="C250" s="241">
        <f t="shared" ref="C250:H250" si="39">SUM(C251:C252)</f>
        <v>60</v>
      </c>
      <c r="D250" s="241">
        <f t="shared" si="39"/>
        <v>50</v>
      </c>
      <c r="E250" s="241">
        <f t="shared" si="39"/>
        <v>33</v>
      </c>
      <c r="F250" s="24">
        <f t="shared" si="29"/>
        <v>55</v>
      </c>
      <c r="G250" s="24">
        <f t="shared" si="30"/>
        <v>66</v>
      </c>
      <c r="H250" s="241">
        <f t="shared" si="39"/>
        <v>0</v>
      </c>
    </row>
    <row r="251" s="34" customFormat="1" spans="1:8">
      <c r="A251" s="50">
        <v>2040101</v>
      </c>
      <c r="B251" s="242" t="s">
        <v>211</v>
      </c>
      <c r="C251" s="243"/>
      <c r="D251" s="243"/>
      <c r="E251" s="243"/>
      <c r="F251" s="24">
        <f t="shared" si="29"/>
        <v>0</v>
      </c>
      <c r="G251" s="24">
        <f t="shared" si="30"/>
        <v>0</v>
      </c>
      <c r="H251" s="243"/>
    </row>
    <row r="252" s="34" customFormat="1" spans="1:8">
      <c r="A252" s="50">
        <v>2040199</v>
      </c>
      <c r="B252" s="244" t="s">
        <v>212</v>
      </c>
      <c r="C252" s="243">
        <v>60</v>
      </c>
      <c r="D252" s="243">
        <v>50</v>
      </c>
      <c r="E252" s="243">
        <f>10+23</f>
        <v>33</v>
      </c>
      <c r="F252" s="24">
        <f t="shared" si="29"/>
        <v>55</v>
      </c>
      <c r="G252" s="24">
        <f t="shared" si="30"/>
        <v>66</v>
      </c>
      <c r="H252" s="243"/>
    </row>
    <row r="253" s="34" customFormat="1" spans="1:8">
      <c r="A253" s="50">
        <v>20402</v>
      </c>
      <c r="B253" s="244" t="s">
        <v>213</v>
      </c>
      <c r="C253" s="241">
        <f t="shared" ref="C253:H253" si="40">SUM(C254:C263)</f>
        <v>5292</v>
      </c>
      <c r="D253" s="241">
        <f t="shared" si="40"/>
        <v>5305</v>
      </c>
      <c r="E253" s="241">
        <f t="shared" si="40"/>
        <v>6050</v>
      </c>
      <c r="F253" s="24">
        <f t="shared" si="29"/>
        <v>114.32350718065</v>
      </c>
      <c r="G253" s="24">
        <f t="shared" si="30"/>
        <v>114.043355325165</v>
      </c>
      <c r="H253" s="241">
        <f t="shared" si="40"/>
        <v>0</v>
      </c>
    </row>
    <row r="254" s="34" customFormat="1" spans="1:8">
      <c r="A254" s="50">
        <v>2040201</v>
      </c>
      <c r="B254" s="244" t="s">
        <v>68</v>
      </c>
      <c r="C254" s="243">
        <v>2932</v>
      </c>
      <c r="D254" s="243">
        <v>2845</v>
      </c>
      <c r="E254" s="243">
        <f>2660+500</f>
        <v>3160</v>
      </c>
      <c r="F254" s="24">
        <f t="shared" si="29"/>
        <v>107.776261937244</v>
      </c>
      <c r="G254" s="24">
        <f t="shared" si="30"/>
        <v>111.072056239016</v>
      </c>
      <c r="H254" s="243"/>
    </row>
    <row r="255" s="34" customFormat="1" spans="1:8">
      <c r="A255" s="50">
        <v>2040202</v>
      </c>
      <c r="B255" s="244" t="s">
        <v>69</v>
      </c>
      <c r="C255" s="243">
        <v>1575</v>
      </c>
      <c r="D255" s="243">
        <v>1600</v>
      </c>
      <c r="E255" s="243">
        <f>1495+284+100</f>
        <v>1879</v>
      </c>
      <c r="F255" s="24">
        <f t="shared" si="29"/>
        <v>119.301587301587</v>
      </c>
      <c r="G255" s="24">
        <f t="shared" si="30"/>
        <v>117.4375</v>
      </c>
      <c r="H255" s="243"/>
    </row>
    <row r="256" s="34" customFormat="1" spans="1:8">
      <c r="A256" s="50">
        <v>2040203</v>
      </c>
      <c r="B256" s="244" t="s">
        <v>70</v>
      </c>
      <c r="C256" s="243">
        <v>0</v>
      </c>
      <c r="D256" s="243">
        <v>0</v>
      </c>
      <c r="E256" s="243"/>
      <c r="F256" s="24">
        <f t="shared" si="29"/>
        <v>0</v>
      </c>
      <c r="G256" s="24">
        <f t="shared" si="30"/>
        <v>0</v>
      </c>
      <c r="H256" s="243"/>
    </row>
    <row r="257" s="34" customFormat="1" spans="1:8">
      <c r="A257" s="50">
        <v>2040219</v>
      </c>
      <c r="B257" s="244" t="s">
        <v>109</v>
      </c>
      <c r="C257" s="243">
        <v>121</v>
      </c>
      <c r="D257" s="243">
        <v>120</v>
      </c>
      <c r="E257" s="243">
        <v>102</v>
      </c>
      <c r="F257" s="24">
        <f t="shared" si="29"/>
        <v>84.297520661157</v>
      </c>
      <c r="G257" s="24">
        <f t="shared" si="30"/>
        <v>85</v>
      </c>
      <c r="H257" s="243"/>
    </row>
    <row r="258" s="34" customFormat="1" spans="1:8">
      <c r="A258" s="50">
        <v>2040220</v>
      </c>
      <c r="B258" s="244" t="s">
        <v>214</v>
      </c>
      <c r="C258" s="243">
        <v>48</v>
      </c>
      <c r="D258" s="243">
        <v>48</v>
      </c>
      <c r="E258" s="243">
        <v>282</v>
      </c>
      <c r="F258" s="24">
        <f t="shared" si="29"/>
        <v>587.5</v>
      </c>
      <c r="G258" s="24">
        <f t="shared" si="30"/>
        <v>587.5</v>
      </c>
      <c r="H258" s="243"/>
    </row>
    <row r="259" s="34" customFormat="1" spans="1:8">
      <c r="A259" s="50">
        <v>2040221</v>
      </c>
      <c r="B259" s="244" t="s">
        <v>215</v>
      </c>
      <c r="C259" s="243">
        <v>0</v>
      </c>
      <c r="D259" s="243">
        <v>0</v>
      </c>
      <c r="E259" s="243"/>
      <c r="F259" s="24">
        <f t="shared" si="29"/>
        <v>0</v>
      </c>
      <c r="G259" s="24">
        <f t="shared" si="30"/>
        <v>0</v>
      </c>
      <c r="H259" s="243"/>
    </row>
    <row r="260" s="34" customFormat="1" spans="1:8">
      <c r="A260" s="50">
        <v>2040222</v>
      </c>
      <c r="B260" s="244" t="s">
        <v>216</v>
      </c>
      <c r="C260" s="243">
        <v>1</v>
      </c>
      <c r="D260" s="243">
        <v>1</v>
      </c>
      <c r="E260" s="243"/>
      <c r="F260" s="24">
        <f t="shared" si="29"/>
        <v>0</v>
      </c>
      <c r="G260" s="24">
        <f t="shared" si="30"/>
        <v>0</v>
      </c>
      <c r="H260" s="243"/>
    </row>
    <row r="261" s="34" customFormat="1" spans="1:8">
      <c r="A261" s="50">
        <v>2040223</v>
      </c>
      <c r="B261" s="244" t="s">
        <v>217</v>
      </c>
      <c r="C261" s="243">
        <v>0</v>
      </c>
      <c r="D261" s="243">
        <v>0</v>
      </c>
      <c r="E261" s="243"/>
      <c r="F261" s="24">
        <f t="shared" si="29"/>
        <v>0</v>
      </c>
      <c r="G261" s="24">
        <f t="shared" si="30"/>
        <v>0</v>
      </c>
      <c r="H261" s="243"/>
    </row>
    <row r="262" s="34" customFormat="1" spans="1:8">
      <c r="A262" s="50">
        <v>2040250</v>
      </c>
      <c r="B262" s="244" t="s">
        <v>77</v>
      </c>
      <c r="C262" s="243">
        <v>0</v>
      </c>
      <c r="D262" s="243">
        <v>0</v>
      </c>
      <c r="E262" s="243"/>
      <c r="F262" s="24">
        <f t="shared" ref="F262:F325" si="41">IF(C262&gt;0,E262/C262*100,)</f>
        <v>0</v>
      </c>
      <c r="G262" s="24">
        <f t="shared" ref="G262:G325" si="42">IF(D262&gt;0,E262/D262*100,)</f>
        <v>0</v>
      </c>
      <c r="H262" s="243"/>
    </row>
    <row r="263" s="34" customFormat="1" spans="1:8">
      <c r="A263" s="50">
        <v>2040299</v>
      </c>
      <c r="B263" s="244" t="s">
        <v>218</v>
      </c>
      <c r="C263" s="243">
        <v>615</v>
      </c>
      <c r="D263" s="243">
        <v>691</v>
      </c>
      <c r="E263" s="243">
        <v>627</v>
      </c>
      <c r="F263" s="24">
        <f t="shared" si="41"/>
        <v>101.951219512195</v>
      </c>
      <c r="G263" s="24">
        <f t="shared" si="42"/>
        <v>90.7380607814761</v>
      </c>
      <c r="H263" s="243"/>
    </row>
    <row r="264" s="34" customFormat="1" spans="1:8">
      <c r="A264" s="50">
        <v>20403</v>
      </c>
      <c r="B264" s="242" t="s">
        <v>219</v>
      </c>
      <c r="C264" s="241">
        <f t="shared" ref="C264:H264" si="43">SUM(C265:C270)</f>
        <v>0</v>
      </c>
      <c r="D264" s="241">
        <f t="shared" si="43"/>
        <v>0</v>
      </c>
      <c r="E264" s="241">
        <f t="shared" si="43"/>
        <v>0</v>
      </c>
      <c r="F264" s="24">
        <f t="shared" si="41"/>
        <v>0</v>
      </c>
      <c r="G264" s="24">
        <f t="shared" si="42"/>
        <v>0</v>
      </c>
      <c r="H264" s="241">
        <f t="shared" si="43"/>
        <v>0</v>
      </c>
    </row>
    <row r="265" s="34" customFormat="1" spans="1:8">
      <c r="A265" s="50">
        <v>2040301</v>
      </c>
      <c r="B265" s="242" t="s">
        <v>68</v>
      </c>
      <c r="C265" s="243"/>
      <c r="D265" s="243"/>
      <c r="E265" s="243"/>
      <c r="F265" s="24">
        <f t="shared" si="41"/>
        <v>0</v>
      </c>
      <c r="G265" s="24">
        <f t="shared" si="42"/>
        <v>0</v>
      </c>
      <c r="H265" s="243"/>
    </row>
    <row r="266" s="34" customFormat="1" spans="1:8">
      <c r="A266" s="50">
        <v>2040302</v>
      </c>
      <c r="B266" s="242" t="s">
        <v>69</v>
      </c>
      <c r="C266" s="243"/>
      <c r="D266" s="243"/>
      <c r="E266" s="243"/>
      <c r="F266" s="24">
        <f t="shared" si="41"/>
        <v>0</v>
      </c>
      <c r="G266" s="24">
        <f t="shared" si="42"/>
        <v>0</v>
      </c>
      <c r="H266" s="243"/>
    </row>
    <row r="267" s="34" customFormat="1" spans="1:8">
      <c r="A267" s="50">
        <v>2040303</v>
      </c>
      <c r="B267" s="244" t="s">
        <v>70</v>
      </c>
      <c r="C267" s="243"/>
      <c r="D267" s="243"/>
      <c r="E267" s="243"/>
      <c r="F267" s="24">
        <f t="shared" si="41"/>
        <v>0</v>
      </c>
      <c r="G267" s="24">
        <f t="shared" si="42"/>
        <v>0</v>
      </c>
      <c r="H267" s="243"/>
    </row>
    <row r="268" s="34" customFormat="1" spans="1:8">
      <c r="A268" s="50">
        <v>2040304</v>
      </c>
      <c r="B268" s="244" t="s">
        <v>220</v>
      </c>
      <c r="C268" s="243"/>
      <c r="D268" s="243"/>
      <c r="E268" s="243"/>
      <c r="F268" s="24">
        <f t="shared" si="41"/>
        <v>0</v>
      </c>
      <c r="G268" s="24">
        <f t="shared" si="42"/>
        <v>0</v>
      </c>
      <c r="H268" s="243"/>
    </row>
    <row r="269" s="34" customFormat="1" spans="1:8">
      <c r="A269" s="50">
        <v>2040350</v>
      </c>
      <c r="B269" s="244" t="s">
        <v>77</v>
      </c>
      <c r="C269" s="243"/>
      <c r="D269" s="243"/>
      <c r="E269" s="243"/>
      <c r="F269" s="24">
        <f t="shared" si="41"/>
        <v>0</v>
      </c>
      <c r="G269" s="24">
        <f t="shared" si="42"/>
        <v>0</v>
      </c>
      <c r="H269" s="243"/>
    </row>
    <row r="270" s="34" customFormat="1" spans="1:8">
      <c r="A270" s="50">
        <v>2040399</v>
      </c>
      <c r="B270" s="240" t="s">
        <v>221</v>
      </c>
      <c r="C270" s="243"/>
      <c r="D270" s="243"/>
      <c r="E270" s="243"/>
      <c r="F270" s="24">
        <f t="shared" si="41"/>
        <v>0</v>
      </c>
      <c r="G270" s="24">
        <f t="shared" si="42"/>
        <v>0</v>
      </c>
      <c r="H270" s="243"/>
    </row>
    <row r="271" s="34" customFormat="1" spans="1:8">
      <c r="A271" s="50">
        <v>20404</v>
      </c>
      <c r="B271" s="245" t="s">
        <v>222</v>
      </c>
      <c r="C271" s="241">
        <f t="shared" ref="C271:H271" si="44">SUM(C272:C278)</f>
        <v>686</v>
      </c>
      <c r="D271" s="241">
        <f t="shared" si="44"/>
        <v>499</v>
      </c>
      <c r="E271" s="241">
        <f t="shared" si="44"/>
        <v>838</v>
      </c>
      <c r="F271" s="24">
        <f t="shared" si="41"/>
        <v>122.157434402332</v>
      </c>
      <c r="G271" s="24">
        <f t="shared" si="42"/>
        <v>167.935871743487</v>
      </c>
      <c r="H271" s="241">
        <f t="shared" si="44"/>
        <v>0</v>
      </c>
    </row>
    <row r="272" s="34" customFormat="1" spans="1:8">
      <c r="A272" s="50">
        <v>2040401</v>
      </c>
      <c r="B272" s="242" t="s">
        <v>68</v>
      </c>
      <c r="C272" s="243">
        <v>397</v>
      </c>
      <c r="D272" s="243">
        <v>384</v>
      </c>
      <c r="E272" s="243">
        <f>357+150</f>
        <v>507</v>
      </c>
      <c r="F272" s="24">
        <f t="shared" si="41"/>
        <v>127.707808564232</v>
      </c>
      <c r="G272" s="24">
        <f t="shared" si="42"/>
        <v>132.03125</v>
      </c>
      <c r="H272" s="243"/>
    </row>
    <row r="273" s="34" customFormat="1" spans="1:8">
      <c r="A273" s="50">
        <v>2040402</v>
      </c>
      <c r="B273" s="242" t="s">
        <v>69</v>
      </c>
      <c r="C273" s="243">
        <v>289</v>
      </c>
      <c r="D273" s="243">
        <v>115</v>
      </c>
      <c r="E273" s="243">
        <f>142+189</f>
        <v>331</v>
      </c>
      <c r="F273" s="24">
        <f t="shared" si="41"/>
        <v>114.532871972318</v>
      </c>
      <c r="G273" s="24">
        <f t="shared" si="42"/>
        <v>287.826086956522</v>
      </c>
      <c r="H273" s="243"/>
    </row>
    <row r="274" s="34" customFormat="1" spans="1:8">
      <c r="A274" s="50">
        <v>2040403</v>
      </c>
      <c r="B274" s="244" t="s">
        <v>70</v>
      </c>
      <c r="C274" s="243"/>
      <c r="D274" s="243"/>
      <c r="E274" s="243"/>
      <c r="F274" s="24">
        <f t="shared" si="41"/>
        <v>0</v>
      </c>
      <c r="G274" s="24">
        <f t="shared" si="42"/>
        <v>0</v>
      </c>
      <c r="H274" s="243"/>
    </row>
    <row r="275" s="34" customFormat="1" spans="1:8">
      <c r="A275" s="50">
        <v>2040409</v>
      </c>
      <c r="B275" s="244" t="s">
        <v>223</v>
      </c>
      <c r="C275" s="243"/>
      <c r="D275" s="243"/>
      <c r="E275" s="243"/>
      <c r="F275" s="24">
        <f t="shared" si="41"/>
        <v>0</v>
      </c>
      <c r="G275" s="24">
        <f t="shared" si="42"/>
        <v>0</v>
      </c>
      <c r="H275" s="243"/>
    </row>
    <row r="276" s="34" customFormat="1" spans="1:8">
      <c r="A276" s="50">
        <v>2040410</v>
      </c>
      <c r="B276" s="244" t="s">
        <v>224</v>
      </c>
      <c r="C276" s="243"/>
      <c r="D276" s="243"/>
      <c r="E276" s="243"/>
      <c r="F276" s="24">
        <f t="shared" si="41"/>
        <v>0</v>
      </c>
      <c r="G276" s="24">
        <f t="shared" si="42"/>
        <v>0</v>
      </c>
      <c r="H276" s="243"/>
    </row>
    <row r="277" s="34" customFormat="1" spans="1:8">
      <c r="A277" s="50">
        <v>2040450</v>
      </c>
      <c r="B277" s="244" t="s">
        <v>77</v>
      </c>
      <c r="C277" s="243"/>
      <c r="D277" s="243"/>
      <c r="E277" s="243"/>
      <c r="F277" s="24">
        <f t="shared" si="41"/>
        <v>0</v>
      </c>
      <c r="G277" s="24">
        <f t="shared" si="42"/>
        <v>0</v>
      </c>
      <c r="H277" s="243"/>
    </row>
    <row r="278" s="34" customFormat="1" spans="1:8">
      <c r="A278" s="50">
        <v>2040499</v>
      </c>
      <c r="B278" s="244" t="s">
        <v>225</v>
      </c>
      <c r="C278" s="243"/>
      <c r="D278" s="243"/>
      <c r="E278" s="243"/>
      <c r="F278" s="24">
        <f t="shared" si="41"/>
        <v>0</v>
      </c>
      <c r="G278" s="24">
        <f t="shared" si="42"/>
        <v>0</v>
      </c>
      <c r="H278" s="243"/>
    </row>
    <row r="279" s="34" customFormat="1" spans="1:8">
      <c r="A279" s="50">
        <v>20405</v>
      </c>
      <c r="B279" s="240" t="s">
        <v>226</v>
      </c>
      <c r="C279" s="241">
        <f t="shared" ref="C279:H279" si="45">SUM(C280:C287)</f>
        <v>1339</v>
      </c>
      <c r="D279" s="241">
        <f t="shared" si="45"/>
        <v>1348</v>
      </c>
      <c r="E279" s="241">
        <f t="shared" si="45"/>
        <v>1997</v>
      </c>
      <c r="F279" s="24">
        <f t="shared" si="41"/>
        <v>149.141150112024</v>
      </c>
      <c r="G279" s="24">
        <f t="shared" si="42"/>
        <v>148.145400593472</v>
      </c>
      <c r="H279" s="241">
        <f t="shared" si="45"/>
        <v>0</v>
      </c>
    </row>
    <row r="280" s="34" customFormat="1" spans="1:8">
      <c r="A280" s="50">
        <v>2040501</v>
      </c>
      <c r="B280" s="242" t="s">
        <v>68</v>
      </c>
      <c r="C280" s="243">
        <v>757</v>
      </c>
      <c r="D280" s="243">
        <v>700</v>
      </c>
      <c r="E280" s="243">
        <f>8+801+150</f>
        <v>959</v>
      </c>
      <c r="F280" s="24">
        <f t="shared" si="41"/>
        <v>126.68428005284</v>
      </c>
      <c r="G280" s="24">
        <f t="shared" si="42"/>
        <v>137</v>
      </c>
      <c r="H280" s="243"/>
    </row>
    <row r="281" s="34" customFormat="1" spans="1:8">
      <c r="A281" s="50">
        <v>2040502</v>
      </c>
      <c r="B281" s="242" t="s">
        <v>69</v>
      </c>
      <c r="C281" s="243">
        <v>398</v>
      </c>
      <c r="D281" s="243">
        <v>298</v>
      </c>
      <c r="E281" s="243">
        <f>231+292</f>
        <v>523</v>
      </c>
      <c r="F281" s="24">
        <f t="shared" si="41"/>
        <v>131.407035175879</v>
      </c>
      <c r="G281" s="24">
        <f t="shared" si="42"/>
        <v>175.503355704698</v>
      </c>
      <c r="H281" s="243"/>
    </row>
    <row r="282" s="34" customFormat="1" spans="1:8">
      <c r="A282" s="50">
        <v>2040503</v>
      </c>
      <c r="B282" s="242" t="s">
        <v>70</v>
      </c>
      <c r="C282" s="243">
        <v>4</v>
      </c>
      <c r="D282" s="243">
        <v>0</v>
      </c>
      <c r="E282" s="243"/>
      <c r="F282" s="24">
        <f t="shared" si="41"/>
        <v>0</v>
      </c>
      <c r="G282" s="24">
        <f t="shared" si="42"/>
        <v>0</v>
      </c>
      <c r="H282" s="243"/>
    </row>
    <row r="283" s="34" customFormat="1" spans="1:8">
      <c r="A283" s="50">
        <v>2040504</v>
      </c>
      <c r="B283" s="244" t="s">
        <v>227</v>
      </c>
      <c r="C283" s="243">
        <v>0</v>
      </c>
      <c r="D283" s="243">
        <v>0</v>
      </c>
      <c r="E283" s="243"/>
      <c r="F283" s="24">
        <f t="shared" si="41"/>
        <v>0</v>
      </c>
      <c r="G283" s="24">
        <f t="shared" si="42"/>
        <v>0</v>
      </c>
      <c r="H283" s="243"/>
    </row>
    <row r="284" s="34" customFormat="1" spans="1:8">
      <c r="A284" s="50">
        <v>2040505</v>
      </c>
      <c r="B284" s="244" t="s">
        <v>228</v>
      </c>
      <c r="C284" s="243">
        <v>0</v>
      </c>
      <c r="D284" s="243">
        <v>0</v>
      </c>
      <c r="E284" s="243"/>
      <c r="F284" s="24">
        <f t="shared" si="41"/>
        <v>0</v>
      </c>
      <c r="G284" s="24">
        <f t="shared" si="42"/>
        <v>0</v>
      </c>
      <c r="H284" s="243"/>
    </row>
    <row r="285" s="34" customFormat="1" spans="1:8">
      <c r="A285" s="50">
        <v>2040506</v>
      </c>
      <c r="B285" s="244" t="s">
        <v>229</v>
      </c>
      <c r="C285" s="243">
        <v>180</v>
      </c>
      <c r="D285" s="243">
        <v>350</v>
      </c>
      <c r="E285" s="243">
        <f>500+15</f>
        <v>515</v>
      </c>
      <c r="F285" s="24">
        <f t="shared" si="41"/>
        <v>286.111111111111</v>
      </c>
      <c r="G285" s="24">
        <f t="shared" si="42"/>
        <v>147.142857142857</v>
      </c>
      <c r="H285" s="243"/>
    </row>
    <row r="286" s="34" customFormat="1" spans="1:8">
      <c r="A286" s="50">
        <v>2040550</v>
      </c>
      <c r="B286" s="242" t="s">
        <v>77</v>
      </c>
      <c r="C286" s="243">
        <v>0</v>
      </c>
      <c r="D286" s="243"/>
      <c r="E286" s="243"/>
      <c r="F286" s="24">
        <f t="shared" si="41"/>
        <v>0</v>
      </c>
      <c r="G286" s="24">
        <f t="shared" si="42"/>
        <v>0</v>
      </c>
      <c r="H286" s="243"/>
    </row>
    <row r="287" s="34" customFormat="1" spans="1:8">
      <c r="A287" s="50">
        <v>2040599</v>
      </c>
      <c r="B287" s="242" t="s">
        <v>230</v>
      </c>
      <c r="C287" s="243">
        <v>0</v>
      </c>
      <c r="D287" s="243"/>
      <c r="E287" s="243"/>
      <c r="F287" s="24">
        <f t="shared" si="41"/>
        <v>0</v>
      </c>
      <c r="G287" s="24">
        <f t="shared" si="42"/>
        <v>0</v>
      </c>
      <c r="H287" s="243"/>
    </row>
    <row r="288" s="34" customFormat="1" spans="1:8">
      <c r="A288" s="50">
        <v>20406</v>
      </c>
      <c r="B288" s="242" t="s">
        <v>231</v>
      </c>
      <c r="C288" s="241">
        <f t="shared" ref="C288:H288" si="46">SUM(C289:C301)</f>
        <v>677</v>
      </c>
      <c r="D288" s="241">
        <f t="shared" si="46"/>
        <v>727</v>
      </c>
      <c r="E288" s="241">
        <f t="shared" si="46"/>
        <v>679</v>
      </c>
      <c r="F288" s="24">
        <f t="shared" si="41"/>
        <v>100.295420974889</v>
      </c>
      <c r="G288" s="24">
        <f t="shared" si="42"/>
        <v>93.3975240715268</v>
      </c>
      <c r="H288" s="241">
        <f t="shared" si="46"/>
        <v>0</v>
      </c>
    </row>
    <row r="289" s="34" customFormat="1" spans="1:8">
      <c r="A289" s="50">
        <v>2040601</v>
      </c>
      <c r="B289" s="244" t="s">
        <v>68</v>
      </c>
      <c r="C289" s="243">
        <v>486</v>
      </c>
      <c r="D289" s="243">
        <v>499</v>
      </c>
      <c r="E289" s="243">
        <v>478</v>
      </c>
      <c r="F289" s="24">
        <f t="shared" si="41"/>
        <v>98.3539094650206</v>
      </c>
      <c r="G289" s="24">
        <f t="shared" si="42"/>
        <v>95.7915831663327</v>
      </c>
      <c r="H289" s="243"/>
    </row>
    <row r="290" s="34" customFormat="1" spans="1:8">
      <c r="A290" s="50">
        <v>2040602</v>
      </c>
      <c r="B290" s="244" t="s">
        <v>69</v>
      </c>
      <c r="C290" s="243">
        <v>124</v>
      </c>
      <c r="D290" s="243">
        <v>136</v>
      </c>
      <c r="E290" s="243">
        <f>104+12</f>
        <v>116</v>
      </c>
      <c r="F290" s="24">
        <f t="shared" si="41"/>
        <v>93.5483870967742</v>
      </c>
      <c r="G290" s="24">
        <f t="shared" si="42"/>
        <v>85.2941176470588</v>
      </c>
      <c r="H290" s="243"/>
    </row>
    <row r="291" s="34" customFormat="1" spans="1:8">
      <c r="A291" s="50">
        <v>2040603</v>
      </c>
      <c r="B291" s="244" t="s">
        <v>70</v>
      </c>
      <c r="C291" s="243">
        <v>0</v>
      </c>
      <c r="D291" s="243">
        <v>0</v>
      </c>
      <c r="E291" s="243"/>
      <c r="F291" s="24">
        <f t="shared" si="41"/>
        <v>0</v>
      </c>
      <c r="G291" s="24">
        <f t="shared" si="42"/>
        <v>0</v>
      </c>
      <c r="H291" s="243"/>
    </row>
    <row r="292" s="34" customFormat="1" spans="1:8">
      <c r="A292" s="50">
        <v>2040604</v>
      </c>
      <c r="B292" s="240" t="s">
        <v>232</v>
      </c>
      <c r="C292" s="243">
        <v>8</v>
      </c>
      <c r="D292" s="243">
        <v>6</v>
      </c>
      <c r="E292" s="243">
        <v>2</v>
      </c>
      <c r="F292" s="24">
        <f t="shared" si="41"/>
        <v>25</v>
      </c>
      <c r="G292" s="24">
        <f t="shared" si="42"/>
        <v>33.3333333333333</v>
      </c>
      <c r="H292" s="243"/>
    </row>
    <row r="293" s="34" customFormat="1" spans="1:8">
      <c r="A293" s="50">
        <v>2040605</v>
      </c>
      <c r="B293" s="242" t="s">
        <v>233</v>
      </c>
      <c r="C293" s="243">
        <v>5</v>
      </c>
      <c r="D293" s="243">
        <v>4</v>
      </c>
      <c r="E293" s="243">
        <v>5</v>
      </c>
      <c r="F293" s="24">
        <f t="shared" si="41"/>
        <v>100</v>
      </c>
      <c r="G293" s="24">
        <f t="shared" si="42"/>
        <v>125</v>
      </c>
      <c r="H293" s="243"/>
    </row>
    <row r="294" s="34" customFormat="1" spans="1:8">
      <c r="A294" s="50">
        <v>2040606</v>
      </c>
      <c r="B294" s="242" t="s">
        <v>234</v>
      </c>
      <c r="C294" s="243">
        <v>2</v>
      </c>
      <c r="D294" s="243">
        <v>8</v>
      </c>
      <c r="E294" s="243">
        <v>1</v>
      </c>
      <c r="F294" s="24">
        <f t="shared" si="41"/>
        <v>50</v>
      </c>
      <c r="G294" s="24">
        <f t="shared" si="42"/>
        <v>12.5</v>
      </c>
      <c r="H294" s="243"/>
    </row>
    <row r="295" s="34" customFormat="1" spans="1:8">
      <c r="A295" s="50">
        <v>2040607</v>
      </c>
      <c r="B295" s="245" t="s">
        <v>235</v>
      </c>
      <c r="C295" s="243">
        <v>0</v>
      </c>
      <c r="D295" s="243">
        <v>16</v>
      </c>
      <c r="E295" s="243">
        <v>3</v>
      </c>
      <c r="F295" s="24">
        <f t="shared" si="41"/>
        <v>0</v>
      </c>
      <c r="G295" s="24">
        <f t="shared" si="42"/>
        <v>18.75</v>
      </c>
      <c r="H295" s="243"/>
    </row>
    <row r="296" s="34" customFormat="1" spans="1:8">
      <c r="A296" s="50">
        <v>2040608</v>
      </c>
      <c r="B296" s="244" t="s">
        <v>236</v>
      </c>
      <c r="C296" s="243">
        <v>0</v>
      </c>
      <c r="D296" s="243">
        <v>0</v>
      </c>
      <c r="E296" s="243"/>
      <c r="F296" s="24">
        <f t="shared" si="41"/>
        <v>0</v>
      </c>
      <c r="G296" s="24">
        <f t="shared" si="42"/>
        <v>0</v>
      </c>
      <c r="H296" s="243"/>
    </row>
    <row r="297" s="34" customFormat="1" spans="1:8">
      <c r="A297" s="50">
        <v>2040610</v>
      </c>
      <c r="B297" s="244" t="s">
        <v>237</v>
      </c>
      <c r="C297" s="243">
        <v>43</v>
      </c>
      <c r="D297" s="243">
        <v>45</v>
      </c>
      <c r="E297" s="243">
        <f>43+1</f>
        <v>44</v>
      </c>
      <c r="F297" s="24">
        <f t="shared" si="41"/>
        <v>102.325581395349</v>
      </c>
      <c r="G297" s="24">
        <f t="shared" si="42"/>
        <v>97.7777777777778</v>
      </c>
      <c r="H297" s="243"/>
    </row>
    <row r="298" s="34" customFormat="1" spans="1:8">
      <c r="A298" s="50">
        <v>2040612</v>
      </c>
      <c r="B298" s="244" t="s">
        <v>238</v>
      </c>
      <c r="C298" s="243">
        <v>8</v>
      </c>
      <c r="D298" s="243">
        <v>7</v>
      </c>
      <c r="E298" s="243"/>
      <c r="F298" s="24">
        <f t="shared" si="41"/>
        <v>0</v>
      </c>
      <c r="G298" s="24">
        <f t="shared" si="42"/>
        <v>0</v>
      </c>
      <c r="H298" s="243"/>
    </row>
    <row r="299" s="34" customFormat="1" spans="1:8">
      <c r="A299" s="50">
        <v>2040613</v>
      </c>
      <c r="B299" s="244" t="s">
        <v>109</v>
      </c>
      <c r="C299" s="243">
        <v>0</v>
      </c>
      <c r="D299" s="243">
        <v>0</v>
      </c>
      <c r="E299" s="243"/>
      <c r="F299" s="24">
        <f t="shared" si="41"/>
        <v>0</v>
      </c>
      <c r="G299" s="24">
        <f t="shared" si="42"/>
        <v>0</v>
      </c>
      <c r="H299" s="243"/>
    </row>
    <row r="300" s="34" customFormat="1" spans="1:8">
      <c r="A300" s="50">
        <v>2040650</v>
      </c>
      <c r="B300" s="244" t="s">
        <v>77</v>
      </c>
      <c r="C300" s="243">
        <v>0</v>
      </c>
      <c r="D300" s="243">
        <v>0</v>
      </c>
      <c r="E300" s="243"/>
      <c r="F300" s="24">
        <f t="shared" si="41"/>
        <v>0</v>
      </c>
      <c r="G300" s="24">
        <f t="shared" si="42"/>
        <v>0</v>
      </c>
      <c r="H300" s="243"/>
    </row>
    <row r="301" s="34" customFormat="1" spans="1:8">
      <c r="A301" s="50">
        <v>2040699</v>
      </c>
      <c r="B301" s="242" t="s">
        <v>239</v>
      </c>
      <c r="C301" s="243">
        <v>1</v>
      </c>
      <c r="D301" s="243">
        <v>6</v>
      </c>
      <c r="E301" s="243">
        <v>30</v>
      </c>
      <c r="F301" s="24">
        <f t="shared" si="41"/>
        <v>3000</v>
      </c>
      <c r="G301" s="24">
        <f t="shared" si="42"/>
        <v>500</v>
      </c>
      <c r="H301" s="243"/>
    </row>
    <row r="302" s="34" customFormat="1" spans="1:8">
      <c r="A302" s="50">
        <v>20407</v>
      </c>
      <c r="B302" s="245" t="s">
        <v>240</v>
      </c>
      <c r="C302" s="241">
        <f t="shared" ref="C302:H302" si="47">SUM(C303:C311)</f>
        <v>0</v>
      </c>
      <c r="D302" s="241">
        <f t="shared" si="47"/>
        <v>0</v>
      </c>
      <c r="E302" s="241">
        <f t="shared" si="47"/>
        <v>0</v>
      </c>
      <c r="F302" s="24">
        <f t="shared" si="41"/>
        <v>0</v>
      </c>
      <c r="G302" s="24">
        <f t="shared" si="42"/>
        <v>0</v>
      </c>
      <c r="H302" s="241">
        <f t="shared" si="47"/>
        <v>0</v>
      </c>
    </row>
    <row r="303" s="34" customFormat="1" spans="1:8">
      <c r="A303" s="50">
        <v>2040701</v>
      </c>
      <c r="B303" s="242" t="s">
        <v>68</v>
      </c>
      <c r="C303" s="243"/>
      <c r="D303" s="243"/>
      <c r="E303" s="243"/>
      <c r="F303" s="24">
        <f t="shared" si="41"/>
        <v>0</v>
      </c>
      <c r="G303" s="24">
        <f t="shared" si="42"/>
        <v>0</v>
      </c>
      <c r="H303" s="243"/>
    </row>
    <row r="304" s="34" customFormat="1" spans="1:8">
      <c r="A304" s="50">
        <v>2040702</v>
      </c>
      <c r="B304" s="244" t="s">
        <v>69</v>
      </c>
      <c r="C304" s="243"/>
      <c r="D304" s="243"/>
      <c r="E304" s="243"/>
      <c r="F304" s="24">
        <f t="shared" si="41"/>
        <v>0</v>
      </c>
      <c r="G304" s="24">
        <f t="shared" si="42"/>
        <v>0</v>
      </c>
      <c r="H304" s="243"/>
    </row>
    <row r="305" s="34" customFormat="1" spans="1:8">
      <c r="A305" s="50">
        <v>2040703</v>
      </c>
      <c r="B305" s="244" t="s">
        <v>70</v>
      </c>
      <c r="C305" s="243"/>
      <c r="D305" s="243"/>
      <c r="E305" s="243"/>
      <c r="F305" s="24">
        <f t="shared" si="41"/>
        <v>0</v>
      </c>
      <c r="G305" s="24">
        <f t="shared" si="42"/>
        <v>0</v>
      </c>
      <c r="H305" s="243"/>
    </row>
    <row r="306" s="34" customFormat="1" spans="1:8">
      <c r="A306" s="50">
        <v>2040704</v>
      </c>
      <c r="B306" s="244" t="s">
        <v>241</v>
      </c>
      <c r="C306" s="243"/>
      <c r="D306" s="243"/>
      <c r="E306" s="243"/>
      <c r="F306" s="24">
        <f t="shared" si="41"/>
        <v>0</v>
      </c>
      <c r="G306" s="24">
        <f t="shared" si="42"/>
        <v>0</v>
      </c>
      <c r="H306" s="243"/>
    </row>
    <row r="307" s="34" customFormat="1" spans="1:8">
      <c r="A307" s="50">
        <v>2040705</v>
      </c>
      <c r="B307" s="240" t="s">
        <v>242</v>
      </c>
      <c r="C307" s="243"/>
      <c r="D307" s="243"/>
      <c r="E307" s="243"/>
      <c r="F307" s="24">
        <f t="shared" si="41"/>
        <v>0</v>
      </c>
      <c r="G307" s="24">
        <f t="shared" si="42"/>
        <v>0</v>
      </c>
      <c r="H307" s="243"/>
    </row>
    <row r="308" s="34" customFormat="1" spans="1:8">
      <c r="A308" s="50">
        <v>2040706</v>
      </c>
      <c r="B308" s="242" t="s">
        <v>243</v>
      </c>
      <c r="C308" s="243"/>
      <c r="D308" s="243"/>
      <c r="E308" s="243"/>
      <c r="F308" s="24">
        <f t="shared" si="41"/>
        <v>0</v>
      </c>
      <c r="G308" s="24">
        <f t="shared" si="42"/>
        <v>0</v>
      </c>
      <c r="H308" s="243"/>
    </row>
    <row r="309" s="34" customFormat="1" spans="1:8">
      <c r="A309" s="50">
        <v>2040707</v>
      </c>
      <c r="B309" s="242" t="s">
        <v>109</v>
      </c>
      <c r="C309" s="243"/>
      <c r="D309" s="243"/>
      <c r="E309" s="243"/>
      <c r="F309" s="24">
        <f t="shared" si="41"/>
        <v>0</v>
      </c>
      <c r="G309" s="24">
        <f t="shared" si="42"/>
        <v>0</v>
      </c>
      <c r="H309" s="243"/>
    </row>
    <row r="310" s="34" customFormat="1" spans="1:8">
      <c r="A310" s="50">
        <v>2040750</v>
      </c>
      <c r="B310" s="242" t="s">
        <v>77</v>
      </c>
      <c r="C310" s="243"/>
      <c r="D310" s="243"/>
      <c r="E310" s="243"/>
      <c r="F310" s="24">
        <f t="shared" si="41"/>
        <v>0</v>
      </c>
      <c r="G310" s="24">
        <f t="shared" si="42"/>
        <v>0</v>
      </c>
      <c r="H310" s="243"/>
    </row>
    <row r="311" s="34" customFormat="1" spans="1:8">
      <c r="A311" s="50">
        <v>2040799</v>
      </c>
      <c r="B311" s="242" t="s">
        <v>244</v>
      </c>
      <c r="C311" s="243"/>
      <c r="D311" s="243"/>
      <c r="E311" s="243"/>
      <c r="F311" s="24">
        <f t="shared" si="41"/>
        <v>0</v>
      </c>
      <c r="G311" s="24">
        <f t="shared" si="42"/>
        <v>0</v>
      </c>
      <c r="H311" s="243"/>
    </row>
    <row r="312" s="34" customFormat="1" spans="1:8">
      <c r="A312" s="50">
        <v>20408</v>
      </c>
      <c r="B312" s="244" t="s">
        <v>245</v>
      </c>
      <c r="C312" s="241">
        <f t="shared" ref="C312:H312" si="48">SUM(C313:C321)</f>
        <v>0</v>
      </c>
      <c r="D312" s="241">
        <f t="shared" si="48"/>
        <v>0</v>
      </c>
      <c r="E312" s="241">
        <f t="shared" si="48"/>
        <v>0</v>
      </c>
      <c r="F312" s="24">
        <f t="shared" si="41"/>
        <v>0</v>
      </c>
      <c r="G312" s="24">
        <f t="shared" si="42"/>
        <v>0</v>
      </c>
      <c r="H312" s="241">
        <f t="shared" si="48"/>
        <v>0</v>
      </c>
    </row>
    <row r="313" s="34" customFormat="1" spans="1:8">
      <c r="A313" s="50">
        <v>2040801</v>
      </c>
      <c r="B313" s="244" t="s">
        <v>68</v>
      </c>
      <c r="C313" s="243"/>
      <c r="D313" s="243"/>
      <c r="E313" s="243"/>
      <c r="F313" s="24">
        <f t="shared" si="41"/>
        <v>0</v>
      </c>
      <c r="G313" s="24">
        <f t="shared" si="42"/>
        <v>0</v>
      </c>
      <c r="H313" s="243"/>
    </row>
    <row r="314" s="34" customFormat="1" spans="1:8">
      <c r="A314" s="50">
        <v>2040802</v>
      </c>
      <c r="B314" s="244" t="s">
        <v>69</v>
      </c>
      <c r="C314" s="243"/>
      <c r="D314" s="243"/>
      <c r="E314" s="243"/>
      <c r="F314" s="24">
        <f t="shared" si="41"/>
        <v>0</v>
      </c>
      <c r="G314" s="24">
        <f t="shared" si="42"/>
        <v>0</v>
      </c>
      <c r="H314" s="243"/>
    </row>
    <row r="315" s="34" customFormat="1" spans="1:8">
      <c r="A315" s="50">
        <v>2040803</v>
      </c>
      <c r="B315" s="242" t="s">
        <v>70</v>
      </c>
      <c r="C315" s="243"/>
      <c r="D315" s="243"/>
      <c r="E315" s="243"/>
      <c r="F315" s="24">
        <f t="shared" si="41"/>
        <v>0</v>
      </c>
      <c r="G315" s="24">
        <f t="shared" si="42"/>
        <v>0</v>
      </c>
      <c r="H315" s="243"/>
    </row>
    <row r="316" s="34" customFormat="1" spans="1:8">
      <c r="A316" s="50">
        <v>2040804</v>
      </c>
      <c r="B316" s="242" t="s">
        <v>246</v>
      </c>
      <c r="C316" s="243"/>
      <c r="D316" s="243"/>
      <c r="E316" s="243"/>
      <c r="F316" s="24">
        <f t="shared" si="41"/>
        <v>0</v>
      </c>
      <c r="G316" s="24">
        <f t="shared" si="42"/>
        <v>0</v>
      </c>
      <c r="H316" s="243"/>
    </row>
    <row r="317" s="34" customFormat="1" spans="1:8">
      <c r="A317" s="50">
        <v>2040805</v>
      </c>
      <c r="B317" s="242" t="s">
        <v>247</v>
      </c>
      <c r="C317" s="243"/>
      <c r="D317" s="243"/>
      <c r="E317" s="243"/>
      <c r="F317" s="24">
        <f t="shared" si="41"/>
        <v>0</v>
      </c>
      <c r="G317" s="24">
        <f t="shared" si="42"/>
        <v>0</v>
      </c>
      <c r="H317" s="243"/>
    </row>
    <row r="318" s="34" customFormat="1" spans="1:8">
      <c r="A318" s="50">
        <v>2040806</v>
      </c>
      <c r="B318" s="244" t="s">
        <v>248</v>
      </c>
      <c r="C318" s="243"/>
      <c r="D318" s="243"/>
      <c r="E318" s="243"/>
      <c r="F318" s="24">
        <f t="shared" si="41"/>
        <v>0</v>
      </c>
      <c r="G318" s="24">
        <f t="shared" si="42"/>
        <v>0</v>
      </c>
      <c r="H318" s="243"/>
    </row>
    <row r="319" s="34" customFormat="1" spans="1:8">
      <c r="A319" s="50">
        <v>2040807</v>
      </c>
      <c r="B319" s="244" t="s">
        <v>109</v>
      </c>
      <c r="C319" s="243"/>
      <c r="D319" s="243"/>
      <c r="E319" s="243"/>
      <c r="F319" s="24">
        <f t="shared" si="41"/>
        <v>0</v>
      </c>
      <c r="G319" s="24">
        <f t="shared" si="42"/>
        <v>0</v>
      </c>
      <c r="H319" s="243"/>
    </row>
    <row r="320" s="34" customFormat="1" spans="1:8">
      <c r="A320" s="50">
        <v>2040850</v>
      </c>
      <c r="B320" s="244" t="s">
        <v>77</v>
      </c>
      <c r="C320" s="243"/>
      <c r="D320" s="243"/>
      <c r="E320" s="243"/>
      <c r="F320" s="24">
        <f t="shared" si="41"/>
        <v>0</v>
      </c>
      <c r="G320" s="24">
        <f t="shared" si="42"/>
        <v>0</v>
      </c>
      <c r="H320" s="243"/>
    </row>
    <row r="321" s="34" customFormat="1" spans="1:8">
      <c r="A321" s="50">
        <v>2040899</v>
      </c>
      <c r="B321" s="244" t="s">
        <v>249</v>
      </c>
      <c r="C321" s="243"/>
      <c r="D321" s="243"/>
      <c r="E321" s="243"/>
      <c r="F321" s="24">
        <f t="shared" si="41"/>
        <v>0</v>
      </c>
      <c r="G321" s="24">
        <f t="shared" si="42"/>
        <v>0</v>
      </c>
      <c r="H321" s="243"/>
    </row>
    <row r="322" s="34" customFormat="1" spans="1:8">
      <c r="A322" s="50">
        <v>20409</v>
      </c>
      <c r="B322" s="240" t="s">
        <v>250</v>
      </c>
      <c r="C322" s="241">
        <f t="shared" ref="C322:H322" si="49">SUM(C323:C329)</f>
        <v>0</v>
      </c>
      <c r="D322" s="241">
        <f t="shared" si="49"/>
        <v>0</v>
      </c>
      <c r="E322" s="241">
        <f t="shared" si="49"/>
        <v>0</v>
      </c>
      <c r="F322" s="24">
        <f t="shared" si="41"/>
        <v>0</v>
      </c>
      <c r="G322" s="24">
        <f t="shared" si="42"/>
        <v>0</v>
      </c>
      <c r="H322" s="241">
        <f t="shared" si="49"/>
        <v>0</v>
      </c>
    </row>
    <row r="323" s="34" customFormat="1" spans="1:8">
      <c r="A323" s="50">
        <v>2040901</v>
      </c>
      <c r="B323" s="242" t="s">
        <v>68</v>
      </c>
      <c r="C323" s="243"/>
      <c r="D323" s="243"/>
      <c r="E323" s="243"/>
      <c r="F323" s="24">
        <f t="shared" si="41"/>
        <v>0</v>
      </c>
      <c r="G323" s="24">
        <f t="shared" si="42"/>
        <v>0</v>
      </c>
      <c r="H323" s="243"/>
    </row>
    <row r="324" s="34" customFormat="1" spans="1:8">
      <c r="A324" s="50">
        <v>2040902</v>
      </c>
      <c r="B324" s="242" t="s">
        <v>69</v>
      </c>
      <c r="C324" s="243"/>
      <c r="D324" s="243"/>
      <c r="E324" s="243"/>
      <c r="F324" s="24">
        <f t="shared" si="41"/>
        <v>0</v>
      </c>
      <c r="G324" s="24">
        <f t="shared" si="42"/>
        <v>0</v>
      </c>
      <c r="H324" s="243"/>
    </row>
    <row r="325" s="34" customFormat="1" spans="1:8">
      <c r="A325" s="50">
        <v>2040903</v>
      </c>
      <c r="B325" s="245" t="s">
        <v>70</v>
      </c>
      <c r="C325" s="243"/>
      <c r="D325" s="243"/>
      <c r="E325" s="243"/>
      <c r="F325" s="24">
        <f t="shared" si="41"/>
        <v>0</v>
      </c>
      <c r="G325" s="24">
        <f t="shared" si="42"/>
        <v>0</v>
      </c>
      <c r="H325" s="243"/>
    </row>
    <row r="326" s="34" customFormat="1" spans="1:8">
      <c r="A326" s="50">
        <v>2040904</v>
      </c>
      <c r="B326" s="247" t="s">
        <v>251</v>
      </c>
      <c r="C326" s="243"/>
      <c r="D326" s="243"/>
      <c r="E326" s="243"/>
      <c r="F326" s="24">
        <f t="shared" ref="F326:F389" si="50">IF(C326&gt;0,E326/C326*100,)</f>
        <v>0</v>
      </c>
      <c r="G326" s="24">
        <f t="shared" ref="G326:G389" si="51">IF(D326&gt;0,E326/D326*100,)</f>
        <v>0</v>
      </c>
      <c r="H326" s="243"/>
    </row>
    <row r="327" s="34" customFormat="1" spans="1:8">
      <c r="A327" s="50">
        <v>2040905</v>
      </c>
      <c r="B327" s="244" t="s">
        <v>252</v>
      </c>
      <c r="C327" s="243"/>
      <c r="D327" s="243"/>
      <c r="E327" s="243"/>
      <c r="F327" s="24">
        <f t="shared" si="50"/>
        <v>0</v>
      </c>
      <c r="G327" s="24">
        <f t="shared" si="51"/>
        <v>0</v>
      </c>
      <c r="H327" s="243"/>
    </row>
    <row r="328" s="34" customFormat="1" spans="1:8">
      <c r="A328" s="50">
        <v>2040950</v>
      </c>
      <c r="B328" s="244" t="s">
        <v>77</v>
      </c>
      <c r="C328" s="243"/>
      <c r="D328" s="243"/>
      <c r="E328" s="243"/>
      <c r="F328" s="24">
        <f t="shared" si="50"/>
        <v>0</v>
      </c>
      <c r="G328" s="24">
        <f t="shared" si="51"/>
        <v>0</v>
      </c>
      <c r="H328" s="243"/>
    </row>
    <row r="329" s="34" customFormat="1" spans="1:8">
      <c r="A329" s="50">
        <v>2040999</v>
      </c>
      <c r="B329" s="242" t="s">
        <v>253</v>
      </c>
      <c r="C329" s="243"/>
      <c r="D329" s="243"/>
      <c r="E329" s="243"/>
      <c r="F329" s="24">
        <f t="shared" si="50"/>
        <v>0</v>
      </c>
      <c r="G329" s="24">
        <f t="shared" si="51"/>
        <v>0</v>
      </c>
      <c r="H329" s="243"/>
    </row>
    <row r="330" s="34" customFormat="1" spans="1:8">
      <c r="A330" s="50">
        <v>20410</v>
      </c>
      <c r="B330" s="242" t="s">
        <v>254</v>
      </c>
      <c r="C330" s="241">
        <f t="shared" ref="C330:H330" si="52">SUM(C331:C335)</f>
        <v>0</v>
      </c>
      <c r="D330" s="241">
        <f t="shared" si="52"/>
        <v>0</v>
      </c>
      <c r="E330" s="241">
        <f t="shared" si="52"/>
        <v>0</v>
      </c>
      <c r="F330" s="24">
        <f t="shared" si="50"/>
        <v>0</v>
      </c>
      <c r="G330" s="24">
        <f t="shared" si="51"/>
        <v>0</v>
      </c>
      <c r="H330" s="241">
        <f t="shared" si="52"/>
        <v>0</v>
      </c>
    </row>
    <row r="331" s="34" customFormat="1" spans="1:8">
      <c r="A331" s="50">
        <v>2041001</v>
      </c>
      <c r="B331" s="242" t="s">
        <v>68</v>
      </c>
      <c r="C331" s="243"/>
      <c r="D331" s="243"/>
      <c r="E331" s="243"/>
      <c r="F331" s="24">
        <f t="shared" si="50"/>
        <v>0</v>
      </c>
      <c r="G331" s="24">
        <f t="shared" si="51"/>
        <v>0</v>
      </c>
      <c r="H331" s="243"/>
    </row>
    <row r="332" s="34" customFormat="1" spans="1:8">
      <c r="A332" s="50">
        <v>2041002</v>
      </c>
      <c r="B332" s="244" t="s">
        <v>69</v>
      </c>
      <c r="C332" s="243"/>
      <c r="D332" s="243"/>
      <c r="E332" s="243"/>
      <c r="F332" s="24">
        <f t="shared" si="50"/>
        <v>0</v>
      </c>
      <c r="G332" s="24">
        <f t="shared" si="51"/>
        <v>0</v>
      </c>
      <c r="H332" s="243"/>
    </row>
    <row r="333" s="34" customFormat="1" spans="1:8">
      <c r="A333" s="50">
        <v>2041006</v>
      </c>
      <c r="B333" s="242" t="s">
        <v>109</v>
      </c>
      <c r="C333" s="243"/>
      <c r="D333" s="243"/>
      <c r="E333" s="243"/>
      <c r="F333" s="24">
        <f t="shared" si="50"/>
        <v>0</v>
      </c>
      <c r="G333" s="24">
        <f t="shared" si="51"/>
        <v>0</v>
      </c>
      <c r="H333" s="243"/>
    </row>
    <row r="334" s="34" customFormat="1" spans="1:8">
      <c r="A334" s="50">
        <v>2041007</v>
      </c>
      <c r="B334" s="244" t="s">
        <v>255</v>
      </c>
      <c r="C334" s="243"/>
      <c r="D334" s="243"/>
      <c r="E334" s="243"/>
      <c r="F334" s="24">
        <f t="shared" si="50"/>
        <v>0</v>
      </c>
      <c r="G334" s="24">
        <f t="shared" si="51"/>
        <v>0</v>
      </c>
      <c r="H334" s="243"/>
    </row>
    <row r="335" s="34" customFormat="1" spans="1:8">
      <c r="A335" s="50">
        <v>2041099</v>
      </c>
      <c r="B335" s="242" t="s">
        <v>256</v>
      </c>
      <c r="C335" s="243"/>
      <c r="D335" s="243"/>
      <c r="E335" s="243"/>
      <c r="F335" s="24">
        <f t="shared" si="50"/>
        <v>0</v>
      </c>
      <c r="G335" s="24">
        <f t="shared" si="51"/>
        <v>0</v>
      </c>
      <c r="H335" s="243"/>
    </row>
    <row r="336" s="34" customFormat="1" spans="1:8">
      <c r="A336" s="50">
        <v>20499</v>
      </c>
      <c r="B336" s="242" t="s">
        <v>257</v>
      </c>
      <c r="C336" s="241">
        <f t="shared" ref="C336:H336" si="53">SUM(C337:C338)</f>
        <v>44</v>
      </c>
      <c r="D336" s="241">
        <f t="shared" si="53"/>
        <v>75</v>
      </c>
      <c r="E336" s="241">
        <f t="shared" si="53"/>
        <v>8</v>
      </c>
      <c r="F336" s="24">
        <f t="shared" si="50"/>
        <v>18.1818181818182</v>
      </c>
      <c r="G336" s="24">
        <f t="shared" si="51"/>
        <v>10.6666666666667</v>
      </c>
      <c r="H336" s="241">
        <f t="shared" si="53"/>
        <v>0</v>
      </c>
    </row>
    <row r="337" s="34" customFormat="1" spans="1:8">
      <c r="A337" s="50">
        <v>2049902</v>
      </c>
      <c r="B337" s="242" t="s">
        <v>258</v>
      </c>
      <c r="C337" s="243"/>
      <c r="D337" s="243">
        <v>56</v>
      </c>
      <c r="E337" s="243"/>
      <c r="F337" s="24">
        <f t="shared" si="50"/>
        <v>0</v>
      </c>
      <c r="G337" s="24">
        <f t="shared" si="51"/>
        <v>0</v>
      </c>
      <c r="H337" s="243"/>
    </row>
    <row r="338" s="34" customFormat="1" spans="1:8">
      <c r="A338" s="50">
        <v>2049999</v>
      </c>
      <c r="B338" s="242" t="s">
        <v>259</v>
      </c>
      <c r="C338" s="243">
        <v>44</v>
      </c>
      <c r="D338" s="243">
        <v>19</v>
      </c>
      <c r="E338" s="243">
        <v>8</v>
      </c>
      <c r="F338" s="24">
        <f t="shared" si="50"/>
        <v>18.1818181818182</v>
      </c>
      <c r="G338" s="24">
        <f t="shared" si="51"/>
        <v>42.1052631578947</v>
      </c>
      <c r="H338" s="243"/>
    </row>
    <row r="339" s="34" customFormat="1" spans="1:8">
      <c r="A339" s="50">
        <v>205</v>
      </c>
      <c r="B339" s="240" t="s">
        <v>260</v>
      </c>
      <c r="C339" s="241">
        <f t="shared" ref="C339:H339" si="54">SUM(C340,C345,C352,C358,C364,C368,C372,C376,C382,C389)</f>
        <v>26581</v>
      </c>
      <c r="D339" s="241">
        <f t="shared" si="54"/>
        <v>35516</v>
      </c>
      <c r="E339" s="241">
        <f t="shared" si="54"/>
        <v>34191</v>
      </c>
      <c r="F339" s="24">
        <f t="shared" si="50"/>
        <v>128.629472179376</v>
      </c>
      <c r="G339" s="24">
        <f t="shared" si="51"/>
        <v>96.2692870818786</v>
      </c>
      <c r="H339" s="241">
        <f t="shared" si="54"/>
        <v>0</v>
      </c>
    </row>
    <row r="340" s="34" customFormat="1" spans="1:8">
      <c r="A340" s="50">
        <v>20501</v>
      </c>
      <c r="B340" s="244" t="s">
        <v>261</v>
      </c>
      <c r="C340" s="241">
        <f t="shared" ref="C340:H340" si="55">SUM(C341:C344)</f>
        <v>944</v>
      </c>
      <c r="D340" s="241">
        <f t="shared" si="55"/>
        <v>678</v>
      </c>
      <c r="E340" s="241">
        <f t="shared" si="55"/>
        <v>854</v>
      </c>
      <c r="F340" s="24">
        <f t="shared" si="50"/>
        <v>90.4661016949153</v>
      </c>
      <c r="G340" s="24">
        <f t="shared" si="51"/>
        <v>125.958702064897</v>
      </c>
      <c r="H340" s="241">
        <f t="shared" si="55"/>
        <v>0</v>
      </c>
    </row>
    <row r="341" s="34" customFormat="1" spans="1:8">
      <c r="A341" s="50">
        <v>2050101</v>
      </c>
      <c r="B341" s="242" t="s">
        <v>68</v>
      </c>
      <c r="C341" s="249">
        <v>85</v>
      </c>
      <c r="D341" s="243">
        <v>92</v>
      </c>
      <c r="E341" s="243">
        <v>631</v>
      </c>
      <c r="F341" s="24">
        <f t="shared" si="50"/>
        <v>742.352941176471</v>
      </c>
      <c r="G341" s="24">
        <f t="shared" si="51"/>
        <v>685.869565217391</v>
      </c>
      <c r="H341" s="243"/>
    </row>
    <row r="342" s="34" customFormat="1" spans="1:8">
      <c r="A342" s="50">
        <v>2050102</v>
      </c>
      <c r="B342" s="242" t="s">
        <v>69</v>
      </c>
      <c r="C342" s="249">
        <v>0</v>
      </c>
      <c r="D342" s="243">
        <v>0</v>
      </c>
      <c r="E342" s="243">
        <v>19</v>
      </c>
      <c r="F342" s="24">
        <f t="shared" si="50"/>
        <v>0</v>
      </c>
      <c r="G342" s="24">
        <f t="shared" si="51"/>
        <v>0</v>
      </c>
      <c r="H342" s="243"/>
    </row>
    <row r="343" s="34" customFormat="1" spans="1:8">
      <c r="A343" s="50">
        <v>2050103</v>
      </c>
      <c r="B343" s="242" t="s">
        <v>70</v>
      </c>
      <c r="C343" s="249">
        <v>0</v>
      </c>
      <c r="D343" s="243">
        <v>0</v>
      </c>
      <c r="E343" s="243"/>
      <c r="F343" s="24">
        <f t="shared" si="50"/>
        <v>0</v>
      </c>
      <c r="G343" s="24">
        <f t="shared" si="51"/>
        <v>0</v>
      </c>
      <c r="H343" s="243"/>
    </row>
    <row r="344" s="34" customFormat="1" spans="1:8">
      <c r="A344" s="50">
        <v>2050199</v>
      </c>
      <c r="B344" s="247" t="s">
        <v>262</v>
      </c>
      <c r="C344" s="249">
        <v>859</v>
      </c>
      <c r="D344" s="243">
        <v>586</v>
      </c>
      <c r="E344" s="243">
        <f>151+53</f>
        <v>204</v>
      </c>
      <c r="F344" s="24">
        <f t="shared" si="50"/>
        <v>23.7485448195576</v>
      </c>
      <c r="G344" s="24">
        <f t="shared" si="51"/>
        <v>34.8122866894198</v>
      </c>
      <c r="H344" s="243"/>
    </row>
    <row r="345" s="34" customFormat="1" spans="1:8">
      <c r="A345" s="50">
        <v>20502</v>
      </c>
      <c r="B345" s="242" t="s">
        <v>263</v>
      </c>
      <c r="C345" s="241">
        <f t="shared" ref="C345:H345" si="56">SUM(C346:C351)</f>
        <v>25319</v>
      </c>
      <c r="D345" s="241">
        <f t="shared" si="56"/>
        <v>34231</v>
      </c>
      <c r="E345" s="241">
        <f t="shared" si="56"/>
        <v>32721</v>
      </c>
      <c r="F345" s="24">
        <f t="shared" si="50"/>
        <v>129.23496188633</v>
      </c>
      <c r="G345" s="24">
        <f t="shared" si="51"/>
        <v>95.5887937834127</v>
      </c>
      <c r="H345" s="241">
        <f t="shared" si="56"/>
        <v>0</v>
      </c>
    </row>
    <row r="346" s="34" customFormat="1" spans="1:8">
      <c r="A346" s="50">
        <v>2050201</v>
      </c>
      <c r="B346" s="242" t="s">
        <v>264</v>
      </c>
      <c r="C346" s="249">
        <v>806</v>
      </c>
      <c r="D346" s="243">
        <v>1706</v>
      </c>
      <c r="E346" s="243">
        <f>1717+805</f>
        <v>2522</v>
      </c>
      <c r="F346" s="24">
        <f t="shared" si="50"/>
        <v>312.903225806452</v>
      </c>
      <c r="G346" s="24">
        <f t="shared" si="51"/>
        <v>147.831184056272</v>
      </c>
      <c r="H346" s="243"/>
    </row>
    <row r="347" s="34" customFormat="1" spans="1:8">
      <c r="A347" s="50">
        <v>2050202</v>
      </c>
      <c r="B347" s="242" t="s">
        <v>265</v>
      </c>
      <c r="C347" s="249">
        <v>15850</v>
      </c>
      <c r="D347" s="243">
        <v>16613</v>
      </c>
      <c r="E347" s="243">
        <f>16619+2018-117</f>
        <v>18520</v>
      </c>
      <c r="F347" s="24">
        <f t="shared" si="50"/>
        <v>116.845425867508</v>
      </c>
      <c r="G347" s="24">
        <f t="shared" si="51"/>
        <v>111.478962258472</v>
      </c>
      <c r="H347" s="243"/>
    </row>
    <row r="348" s="34" customFormat="1" spans="1:8">
      <c r="A348" s="50">
        <v>2050203</v>
      </c>
      <c r="B348" s="244" t="s">
        <v>266</v>
      </c>
      <c r="C348" s="249">
        <v>3924</v>
      </c>
      <c r="D348" s="243">
        <v>7147</v>
      </c>
      <c r="E348" s="243">
        <f>4423+597</f>
        <v>5020</v>
      </c>
      <c r="F348" s="24">
        <f t="shared" si="50"/>
        <v>127.930682976555</v>
      </c>
      <c r="G348" s="24">
        <f t="shared" si="51"/>
        <v>70.2392612284875</v>
      </c>
      <c r="H348" s="243"/>
    </row>
    <row r="349" s="34" customFormat="1" spans="1:8">
      <c r="A349" s="50">
        <v>2050204</v>
      </c>
      <c r="B349" s="244" t="s">
        <v>267</v>
      </c>
      <c r="C349" s="249">
        <v>3212</v>
      </c>
      <c r="D349" s="243">
        <v>7872</v>
      </c>
      <c r="E349" s="243">
        <f>2923+3+300</f>
        <v>3226</v>
      </c>
      <c r="F349" s="24">
        <f t="shared" si="50"/>
        <v>100.435865504359</v>
      </c>
      <c r="G349" s="24">
        <f t="shared" si="51"/>
        <v>40.9806910569106</v>
      </c>
      <c r="H349" s="243"/>
    </row>
    <row r="350" s="34" customFormat="1" spans="1:8">
      <c r="A350" s="50">
        <v>2050205</v>
      </c>
      <c r="B350" s="244" t="s">
        <v>268</v>
      </c>
      <c r="C350" s="249">
        <v>10</v>
      </c>
      <c r="D350" s="243">
        <v>17</v>
      </c>
      <c r="E350" s="243">
        <v>5</v>
      </c>
      <c r="F350" s="24">
        <f t="shared" si="50"/>
        <v>50</v>
      </c>
      <c r="G350" s="24">
        <f t="shared" si="51"/>
        <v>29.4117647058824</v>
      </c>
      <c r="H350" s="243"/>
    </row>
    <row r="351" s="34" customFormat="1" spans="1:8">
      <c r="A351" s="50">
        <v>2050299</v>
      </c>
      <c r="B351" s="242" t="s">
        <v>269</v>
      </c>
      <c r="C351" s="249">
        <v>1517</v>
      </c>
      <c r="D351" s="243">
        <v>876</v>
      </c>
      <c r="E351" s="243">
        <f>3379+49</f>
        <v>3428</v>
      </c>
      <c r="F351" s="24">
        <f t="shared" si="50"/>
        <v>225.972313777192</v>
      </c>
      <c r="G351" s="24">
        <f t="shared" si="51"/>
        <v>391.324200913242</v>
      </c>
      <c r="H351" s="243"/>
    </row>
    <row r="352" s="34" customFormat="1" spans="1:8">
      <c r="A352" s="50">
        <v>20503</v>
      </c>
      <c r="B352" s="242" t="s">
        <v>270</v>
      </c>
      <c r="C352" s="241">
        <f t="shared" ref="C352:H352" si="57">SUM(C353:C357)</f>
        <v>125</v>
      </c>
      <c r="D352" s="241">
        <f t="shared" si="57"/>
        <v>129</v>
      </c>
      <c r="E352" s="241">
        <f t="shared" si="57"/>
        <v>146</v>
      </c>
      <c r="F352" s="24">
        <f t="shared" si="50"/>
        <v>116.8</v>
      </c>
      <c r="G352" s="24">
        <f t="shared" si="51"/>
        <v>113.178294573643</v>
      </c>
      <c r="H352" s="241">
        <f t="shared" si="57"/>
        <v>0</v>
      </c>
    </row>
    <row r="353" s="34" customFormat="1" spans="1:8">
      <c r="A353" s="50">
        <v>2050301</v>
      </c>
      <c r="B353" s="242" t="s">
        <v>271</v>
      </c>
      <c r="C353" s="249">
        <v>0</v>
      </c>
      <c r="D353" s="243">
        <v>0</v>
      </c>
      <c r="E353" s="243"/>
      <c r="F353" s="24">
        <f t="shared" si="50"/>
        <v>0</v>
      </c>
      <c r="G353" s="24">
        <f t="shared" si="51"/>
        <v>0</v>
      </c>
      <c r="H353" s="243"/>
    </row>
    <row r="354" s="34" customFormat="1" spans="1:8">
      <c r="A354" s="50">
        <v>2050302</v>
      </c>
      <c r="B354" s="242" t="s">
        <v>272</v>
      </c>
      <c r="C354" s="249">
        <v>117</v>
      </c>
      <c r="D354" s="243">
        <v>121</v>
      </c>
      <c r="E354" s="243">
        <v>128</v>
      </c>
      <c r="F354" s="24">
        <f t="shared" si="50"/>
        <v>109.401709401709</v>
      </c>
      <c r="G354" s="24">
        <f t="shared" si="51"/>
        <v>105.785123966942</v>
      </c>
      <c r="H354" s="243"/>
    </row>
    <row r="355" s="34" customFormat="1" spans="1:8">
      <c r="A355" s="50">
        <v>2050303</v>
      </c>
      <c r="B355" s="242" t="s">
        <v>273</v>
      </c>
      <c r="C355" s="249">
        <v>0</v>
      </c>
      <c r="D355" s="243">
        <v>0</v>
      </c>
      <c r="E355" s="243"/>
      <c r="F355" s="24">
        <f t="shared" si="50"/>
        <v>0</v>
      </c>
      <c r="G355" s="24">
        <f t="shared" si="51"/>
        <v>0</v>
      </c>
      <c r="H355" s="243"/>
    </row>
    <row r="356" s="34" customFormat="1" spans="1:8">
      <c r="A356" s="50">
        <v>2050305</v>
      </c>
      <c r="B356" s="244" t="s">
        <v>274</v>
      </c>
      <c r="C356" s="249">
        <v>0</v>
      </c>
      <c r="D356" s="243">
        <v>0</v>
      </c>
      <c r="E356" s="243"/>
      <c r="F356" s="24">
        <f t="shared" si="50"/>
        <v>0</v>
      </c>
      <c r="G356" s="24">
        <f t="shared" si="51"/>
        <v>0</v>
      </c>
      <c r="H356" s="243"/>
    </row>
    <row r="357" s="34" customFormat="1" spans="1:8">
      <c r="A357" s="50">
        <v>2050399</v>
      </c>
      <c r="B357" s="244" t="s">
        <v>275</v>
      </c>
      <c r="C357" s="249">
        <v>8</v>
      </c>
      <c r="D357" s="243">
        <v>8</v>
      </c>
      <c r="E357" s="243">
        <v>18</v>
      </c>
      <c r="F357" s="24">
        <f t="shared" si="50"/>
        <v>225</v>
      </c>
      <c r="G357" s="24">
        <f t="shared" si="51"/>
        <v>225</v>
      </c>
      <c r="H357" s="243"/>
    </row>
    <row r="358" s="34" customFormat="1" spans="1:8">
      <c r="A358" s="50">
        <v>20504</v>
      </c>
      <c r="B358" s="240" t="s">
        <v>276</v>
      </c>
      <c r="C358" s="241">
        <f t="shared" ref="C358:H358" si="58">SUM(C359:C363)</f>
        <v>12</v>
      </c>
      <c r="D358" s="241">
        <f t="shared" si="58"/>
        <v>10</v>
      </c>
      <c r="E358" s="241">
        <f t="shared" si="58"/>
        <v>7</v>
      </c>
      <c r="F358" s="24">
        <f t="shared" si="50"/>
        <v>58.3333333333333</v>
      </c>
      <c r="G358" s="24">
        <f t="shared" si="51"/>
        <v>70</v>
      </c>
      <c r="H358" s="241">
        <f t="shared" si="58"/>
        <v>0</v>
      </c>
    </row>
    <row r="359" s="34" customFormat="1" spans="1:8">
      <c r="A359" s="50">
        <v>2050401</v>
      </c>
      <c r="B359" s="242" t="s">
        <v>277</v>
      </c>
      <c r="C359" s="243"/>
      <c r="D359" s="243"/>
      <c r="E359" s="243"/>
      <c r="F359" s="24">
        <f t="shared" si="50"/>
        <v>0</v>
      </c>
      <c r="G359" s="24">
        <f t="shared" si="51"/>
        <v>0</v>
      </c>
      <c r="H359" s="243"/>
    </row>
    <row r="360" s="34" customFormat="1" spans="1:8">
      <c r="A360" s="50">
        <v>2050402</v>
      </c>
      <c r="B360" s="242" t="s">
        <v>278</v>
      </c>
      <c r="C360" s="243"/>
      <c r="D360" s="243"/>
      <c r="E360" s="243"/>
      <c r="F360" s="24">
        <f t="shared" si="50"/>
        <v>0</v>
      </c>
      <c r="G360" s="24">
        <f t="shared" si="51"/>
        <v>0</v>
      </c>
      <c r="H360" s="243"/>
    </row>
    <row r="361" s="34" customFormat="1" spans="1:8">
      <c r="A361" s="50">
        <v>2050403</v>
      </c>
      <c r="B361" s="242" t="s">
        <v>279</v>
      </c>
      <c r="C361" s="243"/>
      <c r="D361" s="243"/>
      <c r="E361" s="243">
        <v>4</v>
      </c>
      <c r="F361" s="24">
        <f t="shared" si="50"/>
        <v>0</v>
      </c>
      <c r="G361" s="24">
        <f t="shared" si="51"/>
        <v>0</v>
      </c>
      <c r="H361" s="243"/>
    </row>
    <row r="362" s="34" customFormat="1" spans="1:8">
      <c r="A362" s="50">
        <v>2050404</v>
      </c>
      <c r="B362" s="244" t="s">
        <v>280</v>
      </c>
      <c r="C362" s="243"/>
      <c r="D362" s="243"/>
      <c r="E362" s="243"/>
      <c r="F362" s="24">
        <f t="shared" si="50"/>
        <v>0</v>
      </c>
      <c r="G362" s="24">
        <f t="shared" si="51"/>
        <v>0</v>
      </c>
      <c r="H362" s="243"/>
    </row>
    <row r="363" s="34" customFormat="1" spans="1:8">
      <c r="A363" s="50">
        <v>2050499</v>
      </c>
      <c r="B363" s="244" t="s">
        <v>281</v>
      </c>
      <c r="C363" s="243">
        <v>12</v>
      </c>
      <c r="D363" s="243">
        <v>10</v>
      </c>
      <c r="E363" s="243">
        <v>3</v>
      </c>
      <c r="F363" s="24">
        <f t="shared" si="50"/>
        <v>25</v>
      </c>
      <c r="G363" s="24">
        <f t="shared" si="51"/>
        <v>30</v>
      </c>
      <c r="H363" s="243"/>
    </row>
    <row r="364" s="34" customFormat="1" spans="1:8">
      <c r="A364" s="50">
        <v>20505</v>
      </c>
      <c r="B364" s="244" t="s">
        <v>282</v>
      </c>
      <c r="C364" s="241">
        <f t="shared" ref="C364:H364" si="59">SUM(C365:C367)</f>
        <v>0</v>
      </c>
      <c r="D364" s="241">
        <f t="shared" si="59"/>
        <v>0</v>
      </c>
      <c r="E364" s="241">
        <f t="shared" si="59"/>
        <v>0</v>
      </c>
      <c r="F364" s="24">
        <f t="shared" si="50"/>
        <v>0</v>
      </c>
      <c r="G364" s="24">
        <f t="shared" si="51"/>
        <v>0</v>
      </c>
      <c r="H364" s="241">
        <f t="shared" si="59"/>
        <v>0</v>
      </c>
    </row>
    <row r="365" s="34" customFormat="1" spans="1:8">
      <c r="A365" s="50">
        <v>2050501</v>
      </c>
      <c r="B365" s="242" t="s">
        <v>283</v>
      </c>
      <c r="C365" s="243"/>
      <c r="D365" s="243"/>
      <c r="E365" s="243"/>
      <c r="F365" s="24">
        <f t="shared" si="50"/>
        <v>0</v>
      </c>
      <c r="G365" s="24">
        <f t="shared" si="51"/>
        <v>0</v>
      </c>
      <c r="H365" s="243"/>
    </row>
    <row r="366" s="34" customFormat="1" spans="1:8">
      <c r="A366" s="50">
        <v>2050502</v>
      </c>
      <c r="B366" s="242" t="s">
        <v>284</v>
      </c>
      <c r="C366" s="243"/>
      <c r="D366" s="243"/>
      <c r="E366" s="243"/>
      <c r="F366" s="24">
        <f t="shared" si="50"/>
        <v>0</v>
      </c>
      <c r="G366" s="24">
        <f t="shared" si="51"/>
        <v>0</v>
      </c>
      <c r="H366" s="243"/>
    </row>
    <row r="367" s="34" customFormat="1" spans="1:8">
      <c r="A367" s="50">
        <v>2050599</v>
      </c>
      <c r="B367" s="242" t="s">
        <v>285</v>
      </c>
      <c r="C367" s="243"/>
      <c r="D367" s="243"/>
      <c r="E367" s="243"/>
      <c r="F367" s="24">
        <f t="shared" si="50"/>
        <v>0</v>
      </c>
      <c r="G367" s="24">
        <f t="shared" si="51"/>
        <v>0</v>
      </c>
      <c r="H367" s="243"/>
    </row>
    <row r="368" s="34" customFormat="1" spans="1:8">
      <c r="A368" s="50">
        <v>20506</v>
      </c>
      <c r="B368" s="244" t="s">
        <v>286</v>
      </c>
      <c r="C368" s="241">
        <f t="shared" ref="C368:H368" si="60">SUM(C369:C371)</f>
        <v>0</v>
      </c>
      <c r="D368" s="241">
        <f t="shared" si="60"/>
        <v>0</v>
      </c>
      <c r="E368" s="241">
        <f t="shared" si="60"/>
        <v>0</v>
      </c>
      <c r="F368" s="24">
        <f t="shared" si="50"/>
        <v>0</v>
      </c>
      <c r="G368" s="24">
        <f t="shared" si="51"/>
        <v>0</v>
      </c>
      <c r="H368" s="241">
        <f t="shared" si="60"/>
        <v>0</v>
      </c>
    </row>
    <row r="369" s="34" customFormat="1" spans="1:8">
      <c r="A369" s="50">
        <v>2050601</v>
      </c>
      <c r="B369" s="244" t="s">
        <v>287</v>
      </c>
      <c r="C369" s="243"/>
      <c r="D369" s="243"/>
      <c r="E369" s="243"/>
      <c r="F369" s="24">
        <f t="shared" si="50"/>
        <v>0</v>
      </c>
      <c r="G369" s="24">
        <f t="shared" si="51"/>
        <v>0</v>
      </c>
      <c r="H369" s="243"/>
    </row>
    <row r="370" s="34" customFormat="1" spans="1:8">
      <c r="A370" s="50">
        <v>2050602</v>
      </c>
      <c r="B370" s="244" t="s">
        <v>288</v>
      </c>
      <c r="C370" s="243"/>
      <c r="D370" s="243"/>
      <c r="E370" s="243"/>
      <c r="F370" s="24">
        <f t="shared" si="50"/>
        <v>0</v>
      </c>
      <c r="G370" s="24">
        <f t="shared" si="51"/>
        <v>0</v>
      </c>
      <c r="H370" s="243"/>
    </row>
    <row r="371" s="34" customFormat="1" spans="1:8">
      <c r="A371" s="50">
        <v>2050699</v>
      </c>
      <c r="B371" s="240" t="s">
        <v>289</v>
      </c>
      <c r="C371" s="243"/>
      <c r="D371" s="243"/>
      <c r="E371" s="243"/>
      <c r="F371" s="24">
        <f t="shared" si="50"/>
        <v>0</v>
      </c>
      <c r="G371" s="24">
        <f t="shared" si="51"/>
        <v>0</v>
      </c>
      <c r="H371" s="243"/>
    </row>
    <row r="372" s="34" customFormat="1" spans="1:8">
      <c r="A372" s="50">
        <v>20507</v>
      </c>
      <c r="B372" s="242" t="s">
        <v>290</v>
      </c>
      <c r="C372" s="241">
        <f t="shared" ref="C372:H372" si="61">SUM(C373:C375)</f>
        <v>23</v>
      </c>
      <c r="D372" s="241">
        <f t="shared" si="61"/>
        <v>23</v>
      </c>
      <c r="E372" s="241">
        <f t="shared" si="61"/>
        <v>20</v>
      </c>
      <c r="F372" s="24">
        <f t="shared" si="50"/>
        <v>86.9565217391304</v>
      </c>
      <c r="G372" s="24">
        <f t="shared" si="51"/>
        <v>86.9565217391304</v>
      </c>
      <c r="H372" s="241">
        <f t="shared" si="61"/>
        <v>0</v>
      </c>
    </row>
    <row r="373" s="34" customFormat="1" spans="1:8">
      <c r="A373" s="50">
        <v>2050701</v>
      </c>
      <c r="B373" s="242" t="s">
        <v>291</v>
      </c>
      <c r="C373" s="243">
        <v>23</v>
      </c>
      <c r="D373" s="243"/>
      <c r="E373" s="243"/>
      <c r="F373" s="24">
        <f t="shared" si="50"/>
        <v>0</v>
      </c>
      <c r="G373" s="24">
        <f t="shared" si="51"/>
        <v>0</v>
      </c>
      <c r="H373" s="243"/>
    </row>
    <row r="374" s="34" customFormat="1" spans="1:8">
      <c r="A374" s="50">
        <v>2050702</v>
      </c>
      <c r="B374" s="242" t="s">
        <v>292</v>
      </c>
      <c r="C374" s="243"/>
      <c r="D374" s="243"/>
      <c r="E374" s="243"/>
      <c r="F374" s="24">
        <f t="shared" si="50"/>
        <v>0</v>
      </c>
      <c r="G374" s="24">
        <f t="shared" si="51"/>
        <v>0</v>
      </c>
      <c r="H374" s="243"/>
    </row>
    <row r="375" s="34" customFormat="1" spans="1:8">
      <c r="A375" s="50">
        <v>2050799</v>
      </c>
      <c r="B375" s="244" t="s">
        <v>293</v>
      </c>
      <c r="C375" s="243"/>
      <c r="D375" s="243">
        <v>23</v>
      </c>
      <c r="E375" s="243">
        <v>20</v>
      </c>
      <c r="F375" s="24">
        <f t="shared" si="50"/>
        <v>0</v>
      </c>
      <c r="G375" s="24">
        <f t="shared" si="51"/>
        <v>86.9565217391304</v>
      </c>
      <c r="H375" s="243"/>
    </row>
    <row r="376" s="34" customFormat="1" spans="1:8">
      <c r="A376" s="50">
        <v>20508</v>
      </c>
      <c r="B376" s="244" t="s">
        <v>294</v>
      </c>
      <c r="C376" s="241">
        <f t="shared" ref="C376:H376" si="62">SUM(C377:C381)</f>
        <v>158</v>
      </c>
      <c r="D376" s="241">
        <f t="shared" si="62"/>
        <v>193</v>
      </c>
      <c r="E376" s="241">
        <f t="shared" si="62"/>
        <v>177</v>
      </c>
      <c r="F376" s="24">
        <f t="shared" si="50"/>
        <v>112.025316455696</v>
      </c>
      <c r="G376" s="24">
        <f t="shared" si="51"/>
        <v>91.7098445595855</v>
      </c>
      <c r="H376" s="241">
        <f t="shared" si="62"/>
        <v>0</v>
      </c>
    </row>
    <row r="377" s="34" customFormat="1" spans="1:8">
      <c r="A377" s="50">
        <v>2050801</v>
      </c>
      <c r="B377" s="244" t="s">
        <v>295</v>
      </c>
      <c r="C377" s="243"/>
      <c r="D377" s="243"/>
      <c r="E377" s="243"/>
      <c r="F377" s="24">
        <f t="shared" si="50"/>
        <v>0</v>
      </c>
      <c r="G377" s="24">
        <f t="shared" si="51"/>
        <v>0</v>
      </c>
      <c r="H377" s="243"/>
    </row>
    <row r="378" s="34" customFormat="1" spans="1:8">
      <c r="A378" s="50">
        <v>2050802</v>
      </c>
      <c r="B378" s="242" t="s">
        <v>296</v>
      </c>
      <c r="C378" s="243">
        <v>158</v>
      </c>
      <c r="D378" s="243">
        <v>193</v>
      </c>
      <c r="E378" s="243">
        <v>177</v>
      </c>
      <c r="F378" s="24">
        <f t="shared" si="50"/>
        <v>112.025316455696</v>
      </c>
      <c r="G378" s="24">
        <f t="shared" si="51"/>
        <v>91.7098445595855</v>
      </c>
      <c r="H378" s="243"/>
    </row>
    <row r="379" s="34" customFormat="1" spans="1:8">
      <c r="A379" s="50">
        <v>2050803</v>
      </c>
      <c r="B379" s="242" t="s">
        <v>297</v>
      </c>
      <c r="C379" s="243"/>
      <c r="D379" s="243"/>
      <c r="E379" s="243"/>
      <c r="F379" s="24">
        <f t="shared" si="50"/>
        <v>0</v>
      </c>
      <c r="G379" s="24">
        <f t="shared" si="51"/>
        <v>0</v>
      </c>
      <c r="H379" s="243"/>
    </row>
    <row r="380" s="34" customFormat="1" spans="1:8">
      <c r="A380" s="50">
        <v>2050804</v>
      </c>
      <c r="B380" s="242" t="s">
        <v>298</v>
      </c>
      <c r="C380" s="243"/>
      <c r="D380" s="243"/>
      <c r="E380" s="243"/>
      <c r="F380" s="24">
        <f t="shared" si="50"/>
        <v>0</v>
      </c>
      <c r="G380" s="24">
        <f t="shared" si="51"/>
        <v>0</v>
      </c>
      <c r="H380" s="243"/>
    </row>
    <row r="381" s="34" customFormat="1" spans="1:8">
      <c r="A381" s="50">
        <v>2050899</v>
      </c>
      <c r="B381" s="242" t="s">
        <v>299</v>
      </c>
      <c r="C381" s="243"/>
      <c r="D381" s="243"/>
      <c r="E381" s="243"/>
      <c r="F381" s="24">
        <f t="shared" si="50"/>
        <v>0</v>
      </c>
      <c r="G381" s="24">
        <f t="shared" si="51"/>
        <v>0</v>
      </c>
      <c r="H381" s="243"/>
    </row>
    <row r="382" s="34" customFormat="1" spans="1:8">
      <c r="A382" s="50">
        <v>20509</v>
      </c>
      <c r="B382" s="242" t="s">
        <v>300</v>
      </c>
      <c r="C382" s="241">
        <f t="shared" ref="C382:H382" si="63">SUM(C383:C388)</f>
        <v>0</v>
      </c>
      <c r="D382" s="241">
        <f t="shared" si="63"/>
        <v>252</v>
      </c>
      <c r="E382" s="241">
        <f t="shared" si="63"/>
        <v>265</v>
      </c>
      <c r="F382" s="24">
        <f t="shared" si="50"/>
        <v>0</v>
      </c>
      <c r="G382" s="24">
        <f t="shared" si="51"/>
        <v>105.15873015873</v>
      </c>
      <c r="H382" s="241">
        <f t="shared" si="63"/>
        <v>0</v>
      </c>
    </row>
    <row r="383" s="34" customFormat="1" spans="1:8">
      <c r="A383" s="50">
        <v>2050901</v>
      </c>
      <c r="B383" s="244" t="s">
        <v>301</v>
      </c>
      <c r="C383" s="243"/>
      <c r="D383" s="243"/>
      <c r="E383" s="243">
        <v>22</v>
      </c>
      <c r="F383" s="24">
        <f t="shared" si="50"/>
        <v>0</v>
      </c>
      <c r="G383" s="24">
        <f t="shared" si="51"/>
        <v>0</v>
      </c>
      <c r="H383" s="243"/>
    </row>
    <row r="384" s="34" customFormat="1" spans="1:8">
      <c r="A384" s="50">
        <v>2050902</v>
      </c>
      <c r="B384" s="244" t="s">
        <v>302</v>
      </c>
      <c r="C384" s="243"/>
      <c r="D384" s="243"/>
      <c r="E384" s="243">
        <v>130</v>
      </c>
      <c r="F384" s="24">
        <f t="shared" si="50"/>
        <v>0</v>
      </c>
      <c r="G384" s="24">
        <f t="shared" si="51"/>
        <v>0</v>
      </c>
      <c r="H384" s="243"/>
    </row>
    <row r="385" s="34" customFormat="1" spans="1:8">
      <c r="A385" s="50">
        <v>2050903</v>
      </c>
      <c r="B385" s="244" t="s">
        <v>303</v>
      </c>
      <c r="C385" s="243"/>
      <c r="D385" s="243"/>
      <c r="E385" s="243"/>
      <c r="F385" s="24">
        <f t="shared" si="50"/>
        <v>0</v>
      </c>
      <c r="G385" s="24">
        <f t="shared" si="51"/>
        <v>0</v>
      </c>
      <c r="H385" s="243"/>
    </row>
    <row r="386" s="34" customFormat="1" spans="1:8">
      <c r="A386" s="50">
        <v>2050904</v>
      </c>
      <c r="B386" s="240" t="s">
        <v>304</v>
      </c>
      <c r="C386" s="243"/>
      <c r="D386" s="243"/>
      <c r="E386" s="243"/>
      <c r="F386" s="24">
        <f t="shared" si="50"/>
        <v>0</v>
      </c>
      <c r="G386" s="24">
        <f t="shared" si="51"/>
        <v>0</v>
      </c>
      <c r="H386" s="243"/>
    </row>
    <row r="387" s="34" customFormat="1" spans="1:8">
      <c r="A387" s="50">
        <v>2050905</v>
      </c>
      <c r="B387" s="242" t="s">
        <v>305</v>
      </c>
      <c r="C387" s="243"/>
      <c r="D387" s="243"/>
      <c r="E387" s="243"/>
      <c r="F387" s="24">
        <f t="shared" si="50"/>
        <v>0</v>
      </c>
      <c r="G387" s="24">
        <f t="shared" si="51"/>
        <v>0</v>
      </c>
      <c r="H387" s="243"/>
    </row>
    <row r="388" s="34" customFormat="1" spans="1:8">
      <c r="A388" s="50">
        <v>2050999</v>
      </c>
      <c r="B388" s="242" t="s">
        <v>306</v>
      </c>
      <c r="C388" s="243"/>
      <c r="D388" s="243">
        <v>252</v>
      </c>
      <c r="E388" s="243">
        <v>113</v>
      </c>
      <c r="F388" s="24">
        <f t="shared" si="50"/>
        <v>0</v>
      </c>
      <c r="G388" s="24">
        <f t="shared" si="51"/>
        <v>44.8412698412698</v>
      </c>
      <c r="H388" s="243"/>
    </row>
    <row r="389" s="34" customFormat="1" spans="1:8">
      <c r="A389" s="50">
        <v>2059999</v>
      </c>
      <c r="B389" s="242" t="s">
        <v>307</v>
      </c>
      <c r="C389" s="241"/>
      <c r="D389" s="241"/>
      <c r="E389" s="241">
        <v>1</v>
      </c>
      <c r="F389" s="24">
        <f t="shared" si="50"/>
        <v>0</v>
      </c>
      <c r="G389" s="24">
        <f t="shared" si="51"/>
        <v>0</v>
      </c>
      <c r="H389" s="241"/>
    </row>
    <row r="390" s="34" customFormat="1" spans="1:8">
      <c r="A390" s="50">
        <v>206</v>
      </c>
      <c r="B390" s="240" t="s">
        <v>308</v>
      </c>
      <c r="C390" s="241">
        <f t="shared" ref="C390:H390" si="64">SUM(C391,C396,C405,C411,C416,C421,C426,C433,C437,C441)</f>
        <v>165</v>
      </c>
      <c r="D390" s="241">
        <f t="shared" si="64"/>
        <v>362</v>
      </c>
      <c r="E390" s="241">
        <f t="shared" si="64"/>
        <v>196</v>
      </c>
      <c r="F390" s="24">
        <f t="shared" ref="F390:F453" si="65">IF(C390&gt;0,E390/C390*100,)</f>
        <v>118.787878787879</v>
      </c>
      <c r="G390" s="24">
        <f t="shared" ref="G390:G453" si="66">IF(D390&gt;0,E390/D390*100,)</f>
        <v>54.1436464088398</v>
      </c>
      <c r="H390" s="241">
        <f t="shared" si="64"/>
        <v>0</v>
      </c>
    </row>
    <row r="391" s="34" customFormat="1" spans="1:8">
      <c r="A391" s="50">
        <v>20601</v>
      </c>
      <c r="B391" s="244" t="s">
        <v>309</v>
      </c>
      <c r="C391" s="241">
        <f t="shared" ref="C391:H391" si="67">SUM(C392:C395)</f>
        <v>149</v>
      </c>
      <c r="D391" s="241">
        <f t="shared" si="67"/>
        <v>145</v>
      </c>
      <c r="E391" s="241">
        <f t="shared" si="67"/>
        <v>182</v>
      </c>
      <c r="F391" s="24">
        <f t="shared" si="65"/>
        <v>122.147651006711</v>
      </c>
      <c r="G391" s="24">
        <f t="shared" si="66"/>
        <v>125.51724137931</v>
      </c>
      <c r="H391" s="241">
        <f t="shared" si="67"/>
        <v>0</v>
      </c>
    </row>
    <row r="392" s="34" customFormat="1" spans="1:8">
      <c r="A392" s="50">
        <v>2060101</v>
      </c>
      <c r="B392" s="242" t="s">
        <v>68</v>
      </c>
      <c r="C392" s="243">
        <v>138</v>
      </c>
      <c r="D392" s="243">
        <v>138</v>
      </c>
      <c r="E392" s="243">
        <v>147</v>
      </c>
      <c r="F392" s="24">
        <f t="shared" si="65"/>
        <v>106.521739130435</v>
      </c>
      <c r="G392" s="24">
        <f t="shared" si="66"/>
        <v>106.521739130435</v>
      </c>
      <c r="H392" s="243"/>
    </row>
    <row r="393" s="34" customFormat="1" spans="1:8">
      <c r="A393" s="50">
        <v>2060102</v>
      </c>
      <c r="B393" s="242" t="s">
        <v>69</v>
      </c>
      <c r="C393" s="243">
        <v>9</v>
      </c>
      <c r="D393" s="243">
        <v>5</v>
      </c>
      <c r="E393" s="243">
        <v>35</v>
      </c>
      <c r="F393" s="24">
        <f t="shared" si="65"/>
        <v>388.888888888889</v>
      </c>
      <c r="G393" s="24">
        <f t="shared" si="66"/>
        <v>700</v>
      </c>
      <c r="H393" s="243"/>
    </row>
    <row r="394" s="34" customFormat="1" spans="1:8">
      <c r="A394" s="50">
        <v>2060103</v>
      </c>
      <c r="B394" s="242" t="s">
        <v>70</v>
      </c>
      <c r="C394" s="243">
        <v>0</v>
      </c>
      <c r="D394" s="243">
        <v>0</v>
      </c>
      <c r="E394" s="243"/>
      <c r="F394" s="24">
        <f t="shared" si="65"/>
        <v>0</v>
      </c>
      <c r="G394" s="24">
        <f t="shared" si="66"/>
        <v>0</v>
      </c>
      <c r="H394" s="243"/>
    </row>
    <row r="395" s="34" customFormat="1" spans="1:8">
      <c r="A395" s="50">
        <v>2060199</v>
      </c>
      <c r="B395" s="244" t="s">
        <v>310</v>
      </c>
      <c r="C395" s="243">
        <v>2</v>
      </c>
      <c r="D395" s="243">
        <v>2</v>
      </c>
      <c r="E395" s="243"/>
      <c r="F395" s="24">
        <f t="shared" si="65"/>
        <v>0</v>
      </c>
      <c r="G395" s="24">
        <f t="shared" si="66"/>
        <v>0</v>
      </c>
      <c r="H395" s="243"/>
    </row>
    <row r="396" s="34" customFormat="1" spans="1:8">
      <c r="A396" s="50">
        <v>20602</v>
      </c>
      <c r="B396" s="242" t="s">
        <v>311</v>
      </c>
      <c r="C396" s="241">
        <f t="shared" ref="C396:H396" si="68">SUM(C397:C404)</f>
        <v>0</v>
      </c>
      <c r="D396" s="241">
        <f t="shared" si="68"/>
        <v>0</v>
      </c>
      <c r="E396" s="241">
        <f t="shared" si="68"/>
        <v>0</v>
      </c>
      <c r="F396" s="24">
        <f t="shared" si="65"/>
        <v>0</v>
      </c>
      <c r="G396" s="24">
        <f t="shared" si="66"/>
        <v>0</v>
      </c>
      <c r="H396" s="241">
        <f t="shared" si="68"/>
        <v>0</v>
      </c>
    </row>
    <row r="397" s="34" customFormat="1" spans="1:8">
      <c r="A397" s="50">
        <v>2060201</v>
      </c>
      <c r="B397" s="242" t="s">
        <v>312</v>
      </c>
      <c r="C397" s="243"/>
      <c r="D397" s="243"/>
      <c r="E397" s="243"/>
      <c r="F397" s="24">
        <f t="shared" si="65"/>
        <v>0</v>
      </c>
      <c r="G397" s="24">
        <f t="shared" si="66"/>
        <v>0</v>
      </c>
      <c r="H397" s="243"/>
    </row>
    <row r="398" s="34" customFormat="1" spans="1:8">
      <c r="A398" s="50">
        <v>2060203</v>
      </c>
      <c r="B398" s="240" t="s">
        <v>313</v>
      </c>
      <c r="C398" s="243"/>
      <c r="D398" s="243"/>
      <c r="E398" s="243"/>
      <c r="F398" s="24">
        <f t="shared" si="65"/>
        <v>0</v>
      </c>
      <c r="G398" s="24">
        <f t="shared" si="66"/>
        <v>0</v>
      </c>
      <c r="H398" s="243"/>
    </row>
    <row r="399" s="34" customFormat="1" spans="1:8">
      <c r="A399" s="50">
        <v>2060204</v>
      </c>
      <c r="B399" s="242" t="s">
        <v>314</v>
      </c>
      <c r="C399" s="243"/>
      <c r="D399" s="243"/>
      <c r="E399" s="243"/>
      <c r="F399" s="24">
        <f t="shared" si="65"/>
        <v>0</v>
      </c>
      <c r="G399" s="24">
        <f t="shared" si="66"/>
        <v>0</v>
      </c>
      <c r="H399" s="243"/>
    </row>
    <row r="400" s="34" customFormat="1" spans="1:8">
      <c r="A400" s="50">
        <v>2060205</v>
      </c>
      <c r="B400" s="242" t="s">
        <v>315</v>
      </c>
      <c r="C400" s="243"/>
      <c r="D400" s="243"/>
      <c r="E400" s="243"/>
      <c r="F400" s="24">
        <f t="shared" si="65"/>
        <v>0</v>
      </c>
      <c r="G400" s="24">
        <f t="shared" si="66"/>
        <v>0</v>
      </c>
      <c r="H400" s="243"/>
    </row>
    <row r="401" s="34" customFormat="1" spans="1:8">
      <c r="A401" s="50">
        <v>2060206</v>
      </c>
      <c r="B401" s="242" t="s">
        <v>316</v>
      </c>
      <c r="C401" s="243"/>
      <c r="D401" s="243"/>
      <c r="E401" s="243"/>
      <c r="F401" s="24">
        <f t="shared" si="65"/>
        <v>0</v>
      </c>
      <c r="G401" s="24">
        <f t="shared" si="66"/>
        <v>0</v>
      </c>
      <c r="H401" s="243"/>
    </row>
    <row r="402" s="34" customFormat="1" spans="1:8">
      <c r="A402" s="50">
        <v>2060207</v>
      </c>
      <c r="B402" s="244" t="s">
        <v>317</v>
      </c>
      <c r="C402" s="243"/>
      <c r="D402" s="243"/>
      <c r="E402" s="243"/>
      <c r="F402" s="24">
        <f t="shared" si="65"/>
        <v>0</v>
      </c>
      <c r="G402" s="24">
        <f t="shared" si="66"/>
        <v>0</v>
      </c>
      <c r="H402" s="243"/>
    </row>
    <row r="403" s="34" customFormat="1" spans="1:8">
      <c r="A403" s="50">
        <v>2060208</v>
      </c>
      <c r="B403" s="244" t="s">
        <v>318</v>
      </c>
      <c r="C403" s="243"/>
      <c r="D403" s="243"/>
      <c r="E403" s="243"/>
      <c r="F403" s="24">
        <f t="shared" si="65"/>
        <v>0</v>
      </c>
      <c r="G403" s="24">
        <f t="shared" si="66"/>
        <v>0</v>
      </c>
      <c r="H403" s="243"/>
    </row>
    <row r="404" s="34" customFormat="1" spans="1:8">
      <c r="A404" s="50">
        <v>2060299</v>
      </c>
      <c r="B404" s="244" t="s">
        <v>319</v>
      </c>
      <c r="C404" s="243"/>
      <c r="D404" s="243"/>
      <c r="E404" s="243"/>
      <c r="F404" s="24">
        <f t="shared" si="65"/>
        <v>0</v>
      </c>
      <c r="G404" s="24">
        <f t="shared" si="66"/>
        <v>0</v>
      </c>
      <c r="H404" s="243"/>
    </row>
    <row r="405" s="34" customFormat="1" spans="1:8">
      <c r="A405" s="50">
        <v>20603</v>
      </c>
      <c r="B405" s="244" t="s">
        <v>320</v>
      </c>
      <c r="C405" s="241">
        <f t="shared" ref="C405:H405" si="69">SUM(C406:C410)</f>
        <v>0</v>
      </c>
      <c r="D405" s="241">
        <f t="shared" si="69"/>
        <v>4</v>
      </c>
      <c r="E405" s="241">
        <f t="shared" si="69"/>
        <v>8</v>
      </c>
      <c r="F405" s="24">
        <f t="shared" si="65"/>
        <v>0</v>
      </c>
      <c r="G405" s="24">
        <f t="shared" si="66"/>
        <v>200</v>
      </c>
      <c r="H405" s="241">
        <f t="shared" si="69"/>
        <v>0</v>
      </c>
    </row>
    <row r="406" s="34" customFormat="1" spans="1:8">
      <c r="A406" s="50">
        <v>2060301</v>
      </c>
      <c r="B406" s="242" t="s">
        <v>312</v>
      </c>
      <c r="C406" s="243"/>
      <c r="D406" s="243">
        <v>0</v>
      </c>
      <c r="E406" s="243"/>
      <c r="F406" s="24">
        <f t="shared" si="65"/>
        <v>0</v>
      </c>
      <c r="G406" s="24">
        <f t="shared" si="66"/>
        <v>0</v>
      </c>
      <c r="H406" s="243"/>
    </row>
    <row r="407" s="34" customFormat="1" spans="1:8">
      <c r="A407" s="50">
        <v>2060302</v>
      </c>
      <c r="B407" s="242" t="s">
        <v>321</v>
      </c>
      <c r="C407" s="243"/>
      <c r="D407" s="243">
        <v>2</v>
      </c>
      <c r="E407" s="243">
        <v>8</v>
      </c>
      <c r="F407" s="24">
        <f t="shared" si="65"/>
        <v>0</v>
      </c>
      <c r="G407" s="24">
        <f t="shared" si="66"/>
        <v>400</v>
      </c>
      <c r="H407" s="243"/>
    </row>
    <row r="408" s="34" customFormat="1" spans="1:8">
      <c r="A408" s="50">
        <v>2060303</v>
      </c>
      <c r="B408" s="242" t="s">
        <v>322</v>
      </c>
      <c r="C408" s="243"/>
      <c r="D408" s="243">
        <v>0</v>
      </c>
      <c r="E408" s="243"/>
      <c r="F408" s="24">
        <f t="shared" si="65"/>
        <v>0</v>
      </c>
      <c r="G408" s="24">
        <f t="shared" si="66"/>
        <v>0</v>
      </c>
      <c r="H408" s="243"/>
    </row>
    <row r="409" s="34" customFormat="1" spans="1:8">
      <c r="A409" s="50">
        <v>2060304</v>
      </c>
      <c r="B409" s="244" t="s">
        <v>323</v>
      </c>
      <c r="C409" s="243"/>
      <c r="D409" s="243">
        <v>0</v>
      </c>
      <c r="E409" s="243"/>
      <c r="F409" s="24">
        <f t="shared" si="65"/>
        <v>0</v>
      </c>
      <c r="G409" s="24">
        <f t="shared" si="66"/>
        <v>0</v>
      </c>
      <c r="H409" s="243"/>
    </row>
    <row r="410" s="34" customFormat="1" spans="1:8">
      <c r="A410" s="50">
        <v>2060399</v>
      </c>
      <c r="B410" s="244" t="s">
        <v>324</v>
      </c>
      <c r="C410" s="243"/>
      <c r="D410" s="243">
        <v>2</v>
      </c>
      <c r="E410" s="243"/>
      <c r="F410" s="24">
        <f t="shared" si="65"/>
        <v>0</v>
      </c>
      <c r="G410" s="24">
        <f t="shared" si="66"/>
        <v>0</v>
      </c>
      <c r="H410" s="243"/>
    </row>
    <row r="411" s="34" customFormat="1" spans="1:8">
      <c r="A411" s="50">
        <v>20604</v>
      </c>
      <c r="B411" s="244" t="s">
        <v>325</v>
      </c>
      <c r="C411" s="241">
        <f t="shared" ref="C411:H411" si="70">SUM(C412:C415)</f>
        <v>9</v>
      </c>
      <c r="D411" s="241">
        <f t="shared" si="70"/>
        <v>8</v>
      </c>
      <c r="E411" s="241">
        <f t="shared" si="70"/>
        <v>2</v>
      </c>
      <c r="F411" s="24">
        <f t="shared" si="65"/>
        <v>22.2222222222222</v>
      </c>
      <c r="G411" s="24">
        <f t="shared" si="66"/>
        <v>25</v>
      </c>
      <c r="H411" s="241">
        <f t="shared" si="70"/>
        <v>0</v>
      </c>
    </row>
    <row r="412" s="34" customFormat="1" spans="1:8">
      <c r="A412" s="50">
        <v>2060401</v>
      </c>
      <c r="B412" s="240" t="s">
        <v>312</v>
      </c>
      <c r="C412" s="243">
        <v>0</v>
      </c>
      <c r="D412" s="243">
        <v>0</v>
      </c>
      <c r="E412" s="243"/>
      <c r="F412" s="24">
        <f t="shared" si="65"/>
        <v>0</v>
      </c>
      <c r="G412" s="24">
        <f t="shared" si="66"/>
        <v>0</v>
      </c>
      <c r="H412" s="243"/>
    </row>
    <row r="413" s="34" customFormat="1" spans="1:8">
      <c r="A413" s="50">
        <v>2060404</v>
      </c>
      <c r="B413" s="242" t="s">
        <v>326</v>
      </c>
      <c r="C413" s="243">
        <v>2</v>
      </c>
      <c r="D413" s="243">
        <v>2</v>
      </c>
      <c r="E413" s="243">
        <v>2</v>
      </c>
      <c r="F413" s="24">
        <f t="shared" si="65"/>
        <v>100</v>
      </c>
      <c r="G413" s="24">
        <f t="shared" si="66"/>
        <v>100</v>
      </c>
      <c r="H413" s="243"/>
    </row>
    <row r="414" s="34" customFormat="1" spans="1:8">
      <c r="A414" s="50">
        <v>2060405</v>
      </c>
      <c r="B414" s="242" t="s">
        <v>327</v>
      </c>
      <c r="C414" s="243">
        <v>0</v>
      </c>
      <c r="D414" s="243">
        <v>0</v>
      </c>
      <c r="E414" s="243"/>
      <c r="F414" s="24">
        <f t="shared" si="65"/>
        <v>0</v>
      </c>
      <c r="G414" s="24">
        <f t="shared" si="66"/>
        <v>0</v>
      </c>
      <c r="H414" s="243"/>
    </row>
    <row r="415" s="34" customFormat="1" spans="1:8">
      <c r="A415" s="50">
        <v>2060499</v>
      </c>
      <c r="B415" s="244" t="s">
        <v>328</v>
      </c>
      <c r="C415" s="243">
        <v>7</v>
      </c>
      <c r="D415" s="243">
        <v>6</v>
      </c>
      <c r="E415" s="243"/>
      <c r="F415" s="24">
        <f t="shared" si="65"/>
        <v>0</v>
      </c>
      <c r="G415" s="24">
        <f t="shared" si="66"/>
        <v>0</v>
      </c>
      <c r="H415" s="243"/>
    </row>
    <row r="416" s="34" customFormat="1" spans="1:8">
      <c r="A416" s="50">
        <v>20605</v>
      </c>
      <c r="B416" s="244" t="s">
        <v>329</v>
      </c>
      <c r="C416" s="241">
        <f t="shared" ref="C416:H416" si="71">SUM(C417:C420)</f>
        <v>0</v>
      </c>
      <c r="D416" s="241">
        <f t="shared" si="71"/>
        <v>0</v>
      </c>
      <c r="E416" s="241">
        <f t="shared" si="71"/>
        <v>0</v>
      </c>
      <c r="F416" s="24">
        <f t="shared" si="65"/>
        <v>0</v>
      </c>
      <c r="G416" s="24">
        <f t="shared" si="66"/>
        <v>0</v>
      </c>
      <c r="H416" s="241">
        <f t="shared" si="71"/>
        <v>0</v>
      </c>
    </row>
    <row r="417" s="34" customFormat="1" spans="1:8">
      <c r="A417" s="50">
        <v>2060501</v>
      </c>
      <c r="B417" s="244" t="s">
        <v>312</v>
      </c>
      <c r="C417" s="243"/>
      <c r="D417" s="243"/>
      <c r="E417" s="243"/>
      <c r="F417" s="24">
        <f t="shared" si="65"/>
        <v>0</v>
      </c>
      <c r="G417" s="24">
        <f t="shared" si="66"/>
        <v>0</v>
      </c>
      <c r="H417" s="243"/>
    </row>
    <row r="418" s="34" customFormat="1" spans="1:8">
      <c r="A418" s="50">
        <v>2060502</v>
      </c>
      <c r="B418" s="242" t="s">
        <v>330</v>
      </c>
      <c r="C418" s="243"/>
      <c r="D418" s="243"/>
      <c r="E418" s="243"/>
      <c r="F418" s="24">
        <f t="shared" si="65"/>
        <v>0</v>
      </c>
      <c r="G418" s="24">
        <f t="shared" si="66"/>
        <v>0</v>
      </c>
      <c r="H418" s="243"/>
    </row>
    <row r="419" s="34" customFormat="1" spans="1:8">
      <c r="A419" s="50">
        <v>2060503</v>
      </c>
      <c r="B419" s="242" t="s">
        <v>331</v>
      </c>
      <c r="C419" s="243"/>
      <c r="D419" s="243"/>
      <c r="E419" s="243"/>
      <c r="F419" s="24">
        <f t="shared" si="65"/>
        <v>0</v>
      </c>
      <c r="G419" s="24">
        <f t="shared" si="66"/>
        <v>0</v>
      </c>
      <c r="H419" s="243"/>
    </row>
    <row r="420" s="34" customFormat="1" spans="1:8">
      <c r="A420" s="50">
        <v>2060599</v>
      </c>
      <c r="B420" s="242" t="s">
        <v>332</v>
      </c>
      <c r="C420" s="243"/>
      <c r="D420" s="243"/>
      <c r="E420" s="243"/>
      <c r="F420" s="24">
        <f t="shared" si="65"/>
        <v>0</v>
      </c>
      <c r="G420" s="24">
        <f t="shared" si="66"/>
        <v>0</v>
      </c>
      <c r="H420" s="243"/>
    </row>
    <row r="421" s="34" customFormat="1" spans="1:8">
      <c r="A421" s="50">
        <v>20606</v>
      </c>
      <c r="B421" s="244" t="s">
        <v>333</v>
      </c>
      <c r="C421" s="241">
        <f t="shared" ref="C421:H421" si="72">SUM(C422:C425)</f>
        <v>0</v>
      </c>
      <c r="D421" s="241">
        <f t="shared" si="72"/>
        <v>0</v>
      </c>
      <c r="E421" s="241">
        <f t="shared" si="72"/>
        <v>0</v>
      </c>
      <c r="F421" s="24">
        <f t="shared" si="65"/>
        <v>0</v>
      </c>
      <c r="G421" s="24">
        <f t="shared" si="66"/>
        <v>0</v>
      </c>
      <c r="H421" s="241">
        <f t="shared" si="72"/>
        <v>0</v>
      </c>
    </row>
    <row r="422" s="34" customFormat="1" spans="1:8">
      <c r="A422" s="50">
        <v>2060601</v>
      </c>
      <c r="B422" s="244" t="s">
        <v>334</v>
      </c>
      <c r="C422" s="243"/>
      <c r="D422" s="243"/>
      <c r="E422" s="243"/>
      <c r="F422" s="24">
        <f t="shared" si="65"/>
        <v>0</v>
      </c>
      <c r="G422" s="24">
        <f t="shared" si="66"/>
        <v>0</v>
      </c>
      <c r="H422" s="243"/>
    </row>
    <row r="423" s="34" customFormat="1" spans="1:8">
      <c r="A423" s="50">
        <v>2060602</v>
      </c>
      <c r="B423" s="244" t="s">
        <v>335</v>
      </c>
      <c r="C423" s="243"/>
      <c r="D423" s="243"/>
      <c r="E423" s="243"/>
      <c r="F423" s="24">
        <f t="shared" si="65"/>
        <v>0</v>
      </c>
      <c r="G423" s="24">
        <f t="shared" si="66"/>
        <v>0</v>
      </c>
      <c r="H423" s="243"/>
    </row>
    <row r="424" s="34" customFormat="1" spans="1:8">
      <c r="A424" s="50">
        <v>2060603</v>
      </c>
      <c r="B424" s="244" t="s">
        <v>336</v>
      </c>
      <c r="C424" s="243"/>
      <c r="D424" s="243"/>
      <c r="E424" s="243"/>
      <c r="F424" s="24">
        <f t="shared" si="65"/>
        <v>0</v>
      </c>
      <c r="G424" s="24">
        <f t="shared" si="66"/>
        <v>0</v>
      </c>
      <c r="H424" s="243"/>
    </row>
    <row r="425" s="34" customFormat="1" spans="1:8">
      <c r="A425" s="50">
        <v>2060699</v>
      </c>
      <c r="B425" s="244" t="s">
        <v>337</v>
      </c>
      <c r="C425" s="243"/>
      <c r="D425" s="243"/>
      <c r="E425" s="243"/>
      <c r="F425" s="24">
        <f t="shared" si="65"/>
        <v>0</v>
      </c>
      <c r="G425" s="24">
        <f t="shared" si="66"/>
        <v>0</v>
      </c>
      <c r="H425" s="243"/>
    </row>
    <row r="426" s="34" customFormat="1" spans="1:8">
      <c r="A426" s="50">
        <v>20607</v>
      </c>
      <c r="B426" s="242" t="s">
        <v>338</v>
      </c>
      <c r="C426" s="241">
        <f t="shared" ref="C426:H426" si="73">SUM(C427:C432)</f>
        <v>1</v>
      </c>
      <c r="D426" s="241">
        <f t="shared" si="73"/>
        <v>1</v>
      </c>
      <c r="E426" s="241">
        <f t="shared" si="73"/>
        <v>1</v>
      </c>
      <c r="F426" s="24">
        <f t="shared" si="65"/>
        <v>100</v>
      </c>
      <c r="G426" s="24">
        <f t="shared" si="66"/>
        <v>100</v>
      </c>
      <c r="H426" s="241">
        <f t="shared" si="73"/>
        <v>0</v>
      </c>
    </row>
    <row r="427" s="34" customFormat="1" spans="1:8">
      <c r="A427" s="50">
        <v>2060701</v>
      </c>
      <c r="B427" s="242" t="s">
        <v>312</v>
      </c>
      <c r="C427" s="243"/>
      <c r="D427" s="243"/>
      <c r="E427" s="243"/>
      <c r="F427" s="24">
        <f t="shared" si="65"/>
        <v>0</v>
      </c>
      <c r="G427" s="24">
        <f t="shared" si="66"/>
        <v>0</v>
      </c>
      <c r="H427" s="243"/>
    </row>
    <row r="428" s="34" customFormat="1" spans="1:8">
      <c r="A428" s="50">
        <v>2060702</v>
      </c>
      <c r="B428" s="244" t="s">
        <v>339</v>
      </c>
      <c r="C428" s="243">
        <v>1</v>
      </c>
      <c r="D428" s="243">
        <v>1</v>
      </c>
      <c r="E428" s="243">
        <v>1</v>
      </c>
      <c r="F428" s="24">
        <f t="shared" si="65"/>
        <v>100</v>
      </c>
      <c r="G428" s="24">
        <f t="shared" si="66"/>
        <v>100</v>
      </c>
      <c r="H428" s="243"/>
    </row>
    <row r="429" s="34" customFormat="1" spans="1:8">
      <c r="A429" s="50">
        <v>2060703</v>
      </c>
      <c r="B429" s="244" t="s">
        <v>340</v>
      </c>
      <c r="C429" s="243"/>
      <c r="D429" s="243"/>
      <c r="E429" s="243"/>
      <c r="F429" s="24">
        <f t="shared" si="65"/>
        <v>0</v>
      </c>
      <c r="G429" s="24">
        <f t="shared" si="66"/>
        <v>0</v>
      </c>
      <c r="H429" s="243"/>
    </row>
    <row r="430" s="34" customFormat="1" spans="1:8">
      <c r="A430" s="50">
        <v>2060704</v>
      </c>
      <c r="B430" s="244" t="s">
        <v>341</v>
      </c>
      <c r="C430" s="243"/>
      <c r="D430" s="243"/>
      <c r="E430" s="243"/>
      <c r="F430" s="24">
        <f t="shared" si="65"/>
        <v>0</v>
      </c>
      <c r="G430" s="24">
        <f t="shared" si="66"/>
        <v>0</v>
      </c>
      <c r="H430" s="243"/>
    </row>
    <row r="431" s="34" customFormat="1" spans="1:8">
      <c r="A431" s="50">
        <v>2060705</v>
      </c>
      <c r="B431" s="242" t="s">
        <v>342</v>
      </c>
      <c r="C431" s="243"/>
      <c r="D431" s="243"/>
      <c r="E431" s="243"/>
      <c r="F431" s="24">
        <f t="shared" si="65"/>
        <v>0</v>
      </c>
      <c r="G431" s="24">
        <f t="shared" si="66"/>
        <v>0</v>
      </c>
      <c r="H431" s="243"/>
    </row>
    <row r="432" s="34" customFormat="1" spans="1:8">
      <c r="A432" s="50">
        <v>2060799</v>
      </c>
      <c r="B432" s="242" t="s">
        <v>343</v>
      </c>
      <c r="C432" s="243"/>
      <c r="D432" s="243"/>
      <c r="E432" s="243"/>
      <c r="F432" s="24">
        <f t="shared" si="65"/>
        <v>0</v>
      </c>
      <c r="G432" s="24">
        <f t="shared" si="66"/>
        <v>0</v>
      </c>
      <c r="H432" s="243"/>
    </row>
    <row r="433" s="34" customFormat="1" spans="1:8">
      <c r="A433" s="50">
        <v>20608</v>
      </c>
      <c r="B433" s="242" t="s">
        <v>344</v>
      </c>
      <c r="C433" s="241">
        <f t="shared" ref="C433:H433" si="74">SUM(C434:C436)</f>
        <v>0</v>
      </c>
      <c r="D433" s="241">
        <f t="shared" si="74"/>
        <v>0</v>
      </c>
      <c r="E433" s="241">
        <f t="shared" si="74"/>
        <v>0</v>
      </c>
      <c r="F433" s="24">
        <f t="shared" si="65"/>
        <v>0</v>
      </c>
      <c r="G433" s="24">
        <f t="shared" si="66"/>
        <v>0</v>
      </c>
      <c r="H433" s="241">
        <f t="shared" si="74"/>
        <v>0</v>
      </c>
    </row>
    <row r="434" s="34" customFormat="1" spans="1:8">
      <c r="A434" s="50">
        <v>2060801</v>
      </c>
      <c r="B434" s="244" t="s">
        <v>345</v>
      </c>
      <c r="C434" s="243"/>
      <c r="D434" s="243"/>
      <c r="E434" s="243"/>
      <c r="F434" s="24">
        <f t="shared" si="65"/>
        <v>0</v>
      </c>
      <c r="G434" s="24">
        <f t="shared" si="66"/>
        <v>0</v>
      </c>
      <c r="H434" s="243"/>
    </row>
    <row r="435" s="34" customFormat="1" spans="1:8">
      <c r="A435" s="50">
        <v>2060802</v>
      </c>
      <c r="B435" s="244" t="s">
        <v>346</v>
      </c>
      <c r="C435" s="243"/>
      <c r="D435" s="243"/>
      <c r="E435" s="243"/>
      <c r="F435" s="24">
        <f t="shared" si="65"/>
        <v>0</v>
      </c>
      <c r="G435" s="24">
        <f t="shared" si="66"/>
        <v>0</v>
      </c>
      <c r="H435" s="243"/>
    </row>
    <row r="436" s="34" customFormat="1" spans="1:8">
      <c r="A436" s="50">
        <v>2060899</v>
      </c>
      <c r="B436" s="244" t="s">
        <v>347</v>
      </c>
      <c r="C436" s="243"/>
      <c r="D436" s="243"/>
      <c r="E436" s="243"/>
      <c r="F436" s="24">
        <f t="shared" si="65"/>
        <v>0</v>
      </c>
      <c r="G436" s="24">
        <f t="shared" si="66"/>
        <v>0</v>
      </c>
      <c r="H436" s="243"/>
    </row>
    <row r="437" s="34" customFormat="1" spans="1:8">
      <c r="A437" s="50">
        <v>20609</v>
      </c>
      <c r="B437" s="240" t="s">
        <v>348</v>
      </c>
      <c r="C437" s="241">
        <f t="shared" ref="C437:H437" si="75">SUM(C438:C440)</f>
        <v>0</v>
      </c>
      <c r="D437" s="241">
        <f t="shared" si="75"/>
        <v>0</v>
      </c>
      <c r="E437" s="241">
        <f t="shared" si="75"/>
        <v>0</v>
      </c>
      <c r="F437" s="24">
        <f t="shared" si="65"/>
        <v>0</v>
      </c>
      <c r="G437" s="24">
        <f t="shared" si="66"/>
        <v>0</v>
      </c>
      <c r="H437" s="241">
        <f t="shared" si="75"/>
        <v>0</v>
      </c>
    </row>
    <row r="438" s="34" customFormat="1" spans="1:8">
      <c r="A438" s="50">
        <v>2060901</v>
      </c>
      <c r="B438" s="244" t="s">
        <v>349</v>
      </c>
      <c r="C438" s="243"/>
      <c r="D438" s="243"/>
      <c r="E438" s="243"/>
      <c r="F438" s="24">
        <f t="shared" si="65"/>
        <v>0</v>
      </c>
      <c r="G438" s="24">
        <f t="shared" si="66"/>
        <v>0</v>
      </c>
      <c r="H438" s="243"/>
    </row>
    <row r="439" s="34" customFormat="1" spans="1:8">
      <c r="A439" s="50">
        <v>2060902</v>
      </c>
      <c r="B439" s="244" t="s">
        <v>350</v>
      </c>
      <c r="C439" s="243"/>
      <c r="D439" s="243"/>
      <c r="E439" s="243"/>
      <c r="F439" s="24">
        <f t="shared" si="65"/>
        <v>0</v>
      </c>
      <c r="G439" s="24">
        <f t="shared" si="66"/>
        <v>0</v>
      </c>
      <c r="H439" s="243"/>
    </row>
    <row r="440" s="34" customFormat="1" spans="1:8">
      <c r="A440" s="50">
        <v>2060999</v>
      </c>
      <c r="B440" s="244" t="s">
        <v>351</v>
      </c>
      <c r="C440" s="243"/>
      <c r="D440" s="243"/>
      <c r="E440" s="243"/>
      <c r="F440" s="24">
        <f t="shared" si="65"/>
        <v>0</v>
      </c>
      <c r="G440" s="24">
        <f t="shared" si="66"/>
        <v>0</v>
      </c>
      <c r="H440" s="243"/>
    </row>
    <row r="441" s="34" customFormat="1" spans="1:8">
      <c r="A441" s="50">
        <v>20699</v>
      </c>
      <c r="B441" s="242" t="s">
        <v>352</v>
      </c>
      <c r="C441" s="241">
        <f t="shared" ref="C441:H441" si="76">SUM(C442:C445)</f>
        <v>6</v>
      </c>
      <c r="D441" s="241">
        <f t="shared" si="76"/>
        <v>204</v>
      </c>
      <c r="E441" s="241">
        <f t="shared" si="76"/>
        <v>3</v>
      </c>
      <c r="F441" s="24">
        <f t="shared" si="65"/>
        <v>50</v>
      </c>
      <c r="G441" s="24">
        <f t="shared" si="66"/>
        <v>1.47058823529412</v>
      </c>
      <c r="H441" s="241">
        <f t="shared" si="76"/>
        <v>0</v>
      </c>
    </row>
    <row r="442" s="34" customFormat="1" spans="1:8">
      <c r="A442" s="50">
        <v>2069901</v>
      </c>
      <c r="B442" s="242" t="s">
        <v>353</v>
      </c>
      <c r="C442" s="243">
        <v>3</v>
      </c>
      <c r="D442" s="243">
        <v>1</v>
      </c>
      <c r="E442" s="243"/>
      <c r="F442" s="24">
        <f t="shared" si="65"/>
        <v>0</v>
      </c>
      <c r="G442" s="24">
        <f t="shared" si="66"/>
        <v>0</v>
      </c>
      <c r="H442" s="243"/>
    </row>
    <row r="443" s="34" customFormat="1" spans="1:8">
      <c r="A443" s="50">
        <v>2069902</v>
      </c>
      <c r="B443" s="244" t="s">
        <v>354</v>
      </c>
      <c r="C443" s="243">
        <v>0</v>
      </c>
      <c r="D443" s="243"/>
      <c r="E443" s="243"/>
      <c r="F443" s="24">
        <f t="shared" si="65"/>
        <v>0</v>
      </c>
      <c r="G443" s="24">
        <f t="shared" si="66"/>
        <v>0</v>
      </c>
      <c r="H443" s="243"/>
    </row>
    <row r="444" s="34" customFormat="1" spans="1:8">
      <c r="A444" s="50">
        <v>2069903</v>
      </c>
      <c r="B444" s="244" t="s">
        <v>355</v>
      </c>
      <c r="C444" s="243">
        <v>0</v>
      </c>
      <c r="D444" s="243"/>
      <c r="E444" s="243"/>
      <c r="F444" s="24">
        <f t="shared" si="65"/>
        <v>0</v>
      </c>
      <c r="G444" s="24">
        <f t="shared" si="66"/>
        <v>0</v>
      </c>
      <c r="H444" s="243"/>
    </row>
    <row r="445" s="34" customFormat="1" spans="1:8">
      <c r="A445" s="50">
        <v>2069999</v>
      </c>
      <c r="B445" s="244" t="s">
        <v>356</v>
      </c>
      <c r="C445" s="243">
        <v>3</v>
      </c>
      <c r="D445" s="243">
        <v>203</v>
      </c>
      <c r="E445" s="243">
        <v>3</v>
      </c>
      <c r="F445" s="24">
        <f t="shared" si="65"/>
        <v>100</v>
      </c>
      <c r="G445" s="24">
        <f t="shared" si="66"/>
        <v>1.47783251231527</v>
      </c>
      <c r="H445" s="243"/>
    </row>
    <row r="446" s="34" customFormat="1" spans="1:8">
      <c r="A446" s="50">
        <v>207</v>
      </c>
      <c r="B446" s="240" t="s">
        <v>357</v>
      </c>
      <c r="C446" s="241">
        <f t="shared" ref="C446:H446" si="77">SUM(C447,C463,C471,C482,C491,C499)</f>
        <v>2853</v>
      </c>
      <c r="D446" s="241">
        <f t="shared" si="77"/>
        <v>5385</v>
      </c>
      <c r="E446" s="241">
        <f t="shared" si="77"/>
        <v>3895</v>
      </c>
      <c r="F446" s="24">
        <f t="shared" si="65"/>
        <v>136.52295828952</v>
      </c>
      <c r="G446" s="24">
        <f t="shared" si="66"/>
        <v>72.330547818013</v>
      </c>
      <c r="H446" s="241">
        <f t="shared" si="77"/>
        <v>0</v>
      </c>
    </row>
    <row r="447" s="34" customFormat="1" spans="1:8">
      <c r="A447" s="50">
        <v>20701</v>
      </c>
      <c r="B447" s="240" t="s">
        <v>358</v>
      </c>
      <c r="C447" s="241">
        <f t="shared" ref="C447:H447" si="78">SUM(C448:C462)</f>
        <v>2026</v>
      </c>
      <c r="D447" s="241">
        <f t="shared" si="78"/>
        <v>2088</v>
      </c>
      <c r="E447" s="241">
        <f t="shared" si="78"/>
        <v>2646</v>
      </c>
      <c r="F447" s="24">
        <f t="shared" si="65"/>
        <v>130.602171767029</v>
      </c>
      <c r="G447" s="24">
        <f t="shared" si="66"/>
        <v>126.724137931034</v>
      </c>
      <c r="H447" s="241">
        <f t="shared" si="78"/>
        <v>0</v>
      </c>
    </row>
    <row r="448" s="34" customFormat="1" spans="1:8">
      <c r="A448" s="50">
        <v>2070101</v>
      </c>
      <c r="B448" s="240" t="s">
        <v>68</v>
      </c>
      <c r="C448" s="243">
        <v>388</v>
      </c>
      <c r="D448" s="243">
        <v>376</v>
      </c>
      <c r="E448" s="243">
        <f>424+531</f>
        <v>955</v>
      </c>
      <c r="F448" s="24">
        <f t="shared" si="65"/>
        <v>246.134020618557</v>
      </c>
      <c r="G448" s="24">
        <f t="shared" si="66"/>
        <v>253.989361702128</v>
      </c>
      <c r="H448" s="243"/>
    </row>
    <row r="449" s="34" customFormat="1" spans="1:8">
      <c r="A449" s="50">
        <v>2070102</v>
      </c>
      <c r="B449" s="240" t="s">
        <v>69</v>
      </c>
      <c r="C449" s="243">
        <v>34</v>
      </c>
      <c r="D449" s="243">
        <v>90</v>
      </c>
      <c r="E449" s="243">
        <f>42+50</f>
        <v>92</v>
      </c>
      <c r="F449" s="24">
        <f t="shared" si="65"/>
        <v>270.588235294118</v>
      </c>
      <c r="G449" s="24">
        <f t="shared" si="66"/>
        <v>102.222222222222</v>
      </c>
      <c r="H449" s="243"/>
    </row>
    <row r="450" s="34" customFormat="1" spans="1:8">
      <c r="A450" s="50">
        <v>2070103</v>
      </c>
      <c r="B450" s="240" t="s">
        <v>70</v>
      </c>
      <c r="C450" s="243">
        <v>0</v>
      </c>
      <c r="D450" s="243">
        <v>0</v>
      </c>
      <c r="E450" s="243"/>
      <c r="F450" s="24">
        <f t="shared" si="65"/>
        <v>0</v>
      </c>
      <c r="G450" s="24">
        <f t="shared" si="66"/>
        <v>0</v>
      </c>
      <c r="H450" s="243"/>
    </row>
    <row r="451" s="34" customFormat="1" spans="1:8">
      <c r="A451" s="50">
        <v>2070104</v>
      </c>
      <c r="B451" s="240" t="s">
        <v>359</v>
      </c>
      <c r="C451" s="243">
        <v>92</v>
      </c>
      <c r="D451" s="243">
        <v>80</v>
      </c>
      <c r="E451" s="243">
        <f>158+2</f>
        <v>160</v>
      </c>
      <c r="F451" s="24">
        <f t="shared" si="65"/>
        <v>173.913043478261</v>
      </c>
      <c r="G451" s="24">
        <f t="shared" si="66"/>
        <v>200</v>
      </c>
      <c r="H451" s="243"/>
    </row>
    <row r="452" s="34" customFormat="1" spans="1:8">
      <c r="A452" s="50">
        <v>2070105</v>
      </c>
      <c r="B452" s="240" t="s">
        <v>360</v>
      </c>
      <c r="C452" s="243">
        <v>2</v>
      </c>
      <c r="D452" s="243">
        <v>2</v>
      </c>
      <c r="E452" s="243"/>
      <c r="F452" s="24">
        <f t="shared" si="65"/>
        <v>0</v>
      </c>
      <c r="G452" s="24">
        <f t="shared" si="66"/>
        <v>0</v>
      </c>
      <c r="H452" s="243"/>
    </row>
    <row r="453" s="34" customFormat="1" spans="1:8">
      <c r="A453" s="50">
        <v>2070106</v>
      </c>
      <c r="B453" s="240" t="s">
        <v>361</v>
      </c>
      <c r="C453" s="243">
        <v>0</v>
      </c>
      <c r="D453" s="243">
        <v>0</v>
      </c>
      <c r="E453" s="243"/>
      <c r="F453" s="24">
        <f t="shared" si="65"/>
        <v>0</v>
      </c>
      <c r="G453" s="24">
        <f t="shared" si="66"/>
        <v>0</v>
      </c>
      <c r="H453" s="243"/>
    </row>
    <row r="454" s="34" customFormat="1" spans="1:8">
      <c r="A454" s="50">
        <v>2070107</v>
      </c>
      <c r="B454" s="240" t="s">
        <v>362</v>
      </c>
      <c r="C454" s="243">
        <v>0</v>
      </c>
      <c r="D454" s="243">
        <v>0</v>
      </c>
      <c r="E454" s="243"/>
      <c r="F454" s="24">
        <f t="shared" ref="F454:F517" si="79">IF(C454&gt;0,E454/C454*100,)</f>
        <v>0</v>
      </c>
      <c r="G454" s="24">
        <f t="shared" ref="G454:G517" si="80">IF(D454&gt;0,E454/D454*100,)</f>
        <v>0</v>
      </c>
      <c r="H454" s="243"/>
    </row>
    <row r="455" s="34" customFormat="1" spans="1:8">
      <c r="A455" s="50">
        <v>2070108</v>
      </c>
      <c r="B455" s="240" t="s">
        <v>363</v>
      </c>
      <c r="C455" s="243">
        <v>0</v>
      </c>
      <c r="D455" s="243">
        <v>32</v>
      </c>
      <c r="E455" s="243">
        <v>4</v>
      </c>
      <c r="F455" s="24">
        <f t="shared" si="79"/>
        <v>0</v>
      </c>
      <c r="G455" s="24">
        <f t="shared" si="80"/>
        <v>12.5</v>
      </c>
      <c r="H455" s="243"/>
    </row>
    <row r="456" s="34" customFormat="1" spans="1:8">
      <c r="A456" s="50">
        <v>2070109</v>
      </c>
      <c r="B456" s="240" t="s">
        <v>364</v>
      </c>
      <c r="C456" s="243">
        <v>191</v>
      </c>
      <c r="D456" s="243">
        <v>184</v>
      </c>
      <c r="E456" s="243">
        <v>228</v>
      </c>
      <c r="F456" s="24">
        <f t="shared" si="79"/>
        <v>119.371727748691</v>
      </c>
      <c r="G456" s="24">
        <f t="shared" si="80"/>
        <v>123.913043478261</v>
      </c>
      <c r="H456" s="243"/>
    </row>
    <row r="457" s="34" customFormat="1" spans="1:8">
      <c r="A457" s="50">
        <v>2070110</v>
      </c>
      <c r="B457" s="240" t="s">
        <v>365</v>
      </c>
      <c r="C457" s="243">
        <v>0</v>
      </c>
      <c r="D457" s="243">
        <v>0</v>
      </c>
      <c r="E457" s="243"/>
      <c r="F457" s="24">
        <f t="shared" si="79"/>
        <v>0</v>
      </c>
      <c r="G457" s="24">
        <f t="shared" si="80"/>
        <v>0</v>
      </c>
      <c r="H457" s="243"/>
    </row>
    <row r="458" s="34" customFormat="1" spans="1:8">
      <c r="A458" s="50">
        <v>2070111</v>
      </c>
      <c r="B458" s="240" t="s">
        <v>366</v>
      </c>
      <c r="C458" s="243">
        <v>1</v>
      </c>
      <c r="D458" s="243">
        <v>1</v>
      </c>
      <c r="E458" s="243"/>
      <c r="F458" s="24">
        <f t="shared" si="79"/>
        <v>0</v>
      </c>
      <c r="G458" s="24">
        <f t="shared" si="80"/>
        <v>0</v>
      </c>
      <c r="H458" s="243"/>
    </row>
    <row r="459" s="34" customFormat="1" spans="1:8">
      <c r="A459" s="50">
        <v>2070112</v>
      </c>
      <c r="B459" s="240" t="s">
        <v>367</v>
      </c>
      <c r="C459" s="243">
        <v>6</v>
      </c>
      <c r="D459" s="243">
        <v>6</v>
      </c>
      <c r="E459" s="243">
        <v>6</v>
      </c>
      <c r="F459" s="24">
        <f t="shared" si="79"/>
        <v>100</v>
      </c>
      <c r="G459" s="24">
        <f t="shared" si="80"/>
        <v>100</v>
      </c>
      <c r="H459" s="243"/>
    </row>
    <row r="460" s="34" customFormat="1" spans="1:8">
      <c r="A460" s="50">
        <v>2070113</v>
      </c>
      <c r="B460" s="240" t="s">
        <v>368</v>
      </c>
      <c r="C460" s="243">
        <v>20</v>
      </c>
      <c r="D460" s="243">
        <v>20</v>
      </c>
      <c r="E460" s="243">
        <f>18+50</f>
        <v>68</v>
      </c>
      <c r="F460" s="24">
        <f t="shared" si="79"/>
        <v>340</v>
      </c>
      <c r="G460" s="24">
        <f t="shared" si="80"/>
        <v>340</v>
      </c>
      <c r="H460" s="243"/>
    </row>
    <row r="461" s="34" customFormat="1" spans="1:8">
      <c r="A461" s="50">
        <v>2070114</v>
      </c>
      <c r="B461" s="240" t="s">
        <v>369</v>
      </c>
      <c r="C461" s="243">
        <v>0</v>
      </c>
      <c r="D461" s="243">
        <v>0</v>
      </c>
      <c r="E461" s="243"/>
      <c r="F461" s="24">
        <f t="shared" si="79"/>
        <v>0</v>
      </c>
      <c r="G461" s="24">
        <f t="shared" si="80"/>
        <v>0</v>
      </c>
      <c r="H461" s="243"/>
    </row>
    <row r="462" s="34" customFormat="1" spans="1:8">
      <c r="A462" s="50">
        <v>2070199</v>
      </c>
      <c r="B462" s="240" t="s">
        <v>370</v>
      </c>
      <c r="C462" s="243">
        <v>1292</v>
      </c>
      <c r="D462" s="243">
        <v>1297</v>
      </c>
      <c r="E462" s="243">
        <f>97+259+27+750</f>
        <v>1133</v>
      </c>
      <c r="F462" s="24">
        <f t="shared" si="79"/>
        <v>87.6934984520124</v>
      </c>
      <c r="G462" s="24">
        <f t="shared" si="80"/>
        <v>87.3554356206631</v>
      </c>
      <c r="H462" s="243"/>
    </row>
    <row r="463" s="34" customFormat="1" spans="1:8">
      <c r="A463" s="50">
        <v>20702</v>
      </c>
      <c r="B463" s="240" t="s">
        <v>371</v>
      </c>
      <c r="C463" s="241">
        <f t="shared" ref="C463:H463" si="81">SUM(C464:C470)</f>
        <v>308</v>
      </c>
      <c r="D463" s="241">
        <f t="shared" si="81"/>
        <v>290</v>
      </c>
      <c r="E463" s="241">
        <f t="shared" si="81"/>
        <v>334</v>
      </c>
      <c r="F463" s="24">
        <f t="shared" si="79"/>
        <v>108.441558441558</v>
      </c>
      <c r="G463" s="24">
        <f t="shared" si="80"/>
        <v>115.172413793103</v>
      </c>
      <c r="H463" s="241">
        <f t="shared" si="81"/>
        <v>0</v>
      </c>
    </row>
    <row r="464" s="34" customFormat="1" spans="1:8">
      <c r="A464" s="50">
        <v>2070201</v>
      </c>
      <c r="B464" s="240" t="s">
        <v>68</v>
      </c>
      <c r="C464" s="243">
        <v>38</v>
      </c>
      <c r="D464" s="243">
        <v>36</v>
      </c>
      <c r="E464" s="243">
        <v>36</v>
      </c>
      <c r="F464" s="24">
        <f t="shared" si="79"/>
        <v>94.7368421052632</v>
      </c>
      <c r="G464" s="24">
        <f t="shared" si="80"/>
        <v>100</v>
      </c>
      <c r="H464" s="243"/>
    </row>
    <row r="465" s="34" customFormat="1" spans="1:8">
      <c r="A465" s="50">
        <v>2070202</v>
      </c>
      <c r="B465" s="240" t="s">
        <v>69</v>
      </c>
      <c r="C465" s="243">
        <v>0</v>
      </c>
      <c r="D465" s="243">
        <v>0</v>
      </c>
      <c r="E465" s="243">
        <v>10</v>
      </c>
      <c r="F465" s="24">
        <f t="shared" si="79"/>
        <v>0</v>
      </c>
      <c r="G465" s="24">
        <f t="shared" si="80"/>
        <v>0</v>
      </c>
      <c r="H465" s="243"/>
    </row>
    <row r="466" s="34" customFormat="1" spans="1:8">
      <c r="A466" s="50">
        <v>2070203</v>
      </c>
      <c r="B466" s="240" t="s">
        <v>70</v>
      </c>
      <c r="C466" s="243">
        <v>0</v>
      </c>
      <c r="D466" s="243">
        <v>0</v>
      </c>
      <c r="E466" s="243"/>
      <c r="F466" s="24">
        <f t="shared" si="79"/>
        <v>0</v>
      </c>
      <c r="G466" s="24">
        <f t="shared" si="80"/>
        <v>0</v>
      </c>
      <c r="H466" s="243"/>
    </row>
    <row r="467" s="34" customFormat="1" spans="1:8">
      <c r="A467" s="50">
        <v>2070204</v>
      </c>
      <c r="B467" s="240" t="s">
        <v>372</v>
      </c>
      <c r="C467" s="243">
        <v>270</v>
      </c>
      <c r="D467" s="243">
        <v>254</v>
      </c>
      <c r="E467" s="243">
        <f>188+100</f>
        <v>288</v>
      </c>
      <c r="F467" s="24">
        <f t="shared" si="79"/>
        <v>106.666666666667</v>
      </c>
      <c r="G467" s="24">
        <f t="shared" si="80"/>
        <v>113.385826771654</v>
      </c>
      <c r="H467" s="243"/>
    </row>
    <row r="468" s="34" customFormat="1" spans="1:8">
      <c r="A468" s="50">
        <v>2070205</v>
      </c>
      <c r="B468" s="240" t="s">
        <v>373</v>
      </c>
      <c r="C468" s="243"/>
      <c r="D468" s="243"/>
      <c r="E468" s="243"/>
      <c r="F468" s="24">
        <f t="shared" si="79"/>
        <v>0</v>
      </c>
      <c r="G468" s="24">
        <f t="shared" si="80"/>
        <v>0</v>
      </c>
      <c r="H468" s="243"/>
    </row>
    <row r="469" s="34" customFormat="1" spans="1:8">
      <c r="A469" s="50">
        <v>2070206</v>
      </c>
      <c r="B469" s="240" t="s">
        <v>374</v>
      </c>
      <c r="C469" s="243"/>
      <c r="D469" s="243"/>
      <c r="E469" s="243"/>
      <c r="F469" s="24">
        <f t="shared" si="79"/>
        <v>0</v>
      </c>
      <c r="G469" s="24">
        <f t="shared" si="80"/>
        <v>0</v>
      </c>
      <c r="H469" s="243"/>
    </row>
    <row r="470" s="34" customFormat="1" spans="1:8">
      <c r="A470" s="50">
        <v>2070299</v>
      </c>
      <c r="B470" s="240" t="s">
        <v>375</v>
      </c>
      <c r="C470" s="243"/>
      <c r="D470" s="243"/>
      <c r="E470" s="243"/>
      <c r="F470" s="24">
        <f t="shared" si="79"/>
        <v>0</v>
      </c>
      <c r="G470" s="24">
        <f t="shared" si="80"/>
        <v>0</v>
      </c>
      <c r="H470" s="243"/>
    </row>
    <row r="471" s="34" customFormat="1" spans="1:8">
      <c r="A471" s="50">
        <v>20703</v>
      </c>
      <c r="B471" s="240" t="s">
        <v>376</v>
      </c>
      <c r="C471" s="241">
        <f t="shared" ref="C471:H471" si="82">SUM(C472:C481)</f>
        <v>87</v>
      </c>
      <c r="D471" s="241">
        <f t="shared" si="82"/>
        <v>1887</v>
      </c>
      <c r="E471" s="241">
        <f t="shared" si="82"/>
        <v>145</v>
      </c>
      <c r="F471" s="24">
        <f t="shared" si="79"/>
        <v>166.666666666667</v>
      </c>
      <c r="G471" s="24">
        <f t="shared" si="80"/>
        <v>7.68415474297827</v>
      </c>
      <c r="H471" s="241">
        <f t="shared" si="82"/>
        <v>0</v>
      </c>
    </row>
    <row r="472" s="34" customFormat="1" spans="1:8">
      <c r="A472" s="50">
        <v>2070301</v>
      </c>
      <c r="B472" s="240" t="s">
        <v>68</v>
      </c>
      <c r="C472" s="243">
        <v>0</v>
      </c>
      <c r="D472" s="243">
        <v>0</v>
      </c>
      <c r="E472" s="243"/>
      <c r="F472" s="24">
        <f t="shared" si="79"/>
        <v>0</v>
      </c>
      <c r="G472" s="24">
        <f t="shared" si="80"/>
        <v>0</v>
      </c>
      <c r="H472" s="243"/>
    </row>
    <row r="473" s="34" customFormat="1" spans="1:8">
      <c r="A473" s="50">
        <v>2070302</v>
      </c>
      <c r="B473" s="240" t="s">
        <v>69</v>
      </c>
      <c r="C473" s="243">
        <v>0</v>
      </c>
      <c r="D473" s="243">
        <v>0</v>
      </c>
      <c r="E473" s="243"/>
      <c r="F473" s="24">
        <f t="shared" si="79"/>
        <v>0</v>
      </c>
      <c r="G473" s="24">
        <f t="shared" si="80"/>
        <v>0</v>
      </c>
      <c r="H473" s="243"/>
    </row>
    <row r="474" s="34" customFormat="1" spans="1:8">
      <c r="A474" s="50">
        <v>2070303</v>
      </c>
      <c r="B474" s="240" t="s">
        <v>70</v>
      </c>
      <c r="C474" s="243">
        <v>0</v>
      </c>
      <c r="D474" s="243">
        <v>0</v>
      </c>
      <c r="E474" s="243"/>
      <c r="F474" s="24">
        <f t="shared" si="79"/>
        <v>0</v>
      </c>
      <c r="G474" s="24">
        <f t="shared" si="80"/>
        <v>0</v>
      </c>
      <c r="H474" s="243"/>
    </row>
    <row r="475" s="34" customFormat="1" spans="1:8">
      <c r="A475" s="50">
        <v>2070304</v>
      </c>
      <c r="B475" s="240" t="s">
        <v>377</v>
      </c>
      <c r="C475" s="243">
        <v>0</v>
      </c>
      <c r="D475" s="243">
        <v>0</v>
      </c>
      <c r="E475" s="243"/>
      <c r="F475" s="24">
        <f t="shared" si="79"/>
        <v>0</v>
      </c>
      <c r="G475" s="24">
        <f t="shared" si="80"/>
        <v>0</v>
      </c>
      <c r="H475" s="243"/>
    </row>
    <row r="476" s="34" customFormat="1" spans="1:8">
      <c r="A476" s="50">
        <v>2070305</v>
      </c>
      <c r="B476" s="240" t="s">
        <v>378</v>
      </c>
      <c r="C476" s="243">
        <v>5</v>
      </c>
      <c r="D476" s="243">
        <v>5</v>
      </c>
      <c r="E476" s="243">
        <v>4</v>
      </c>
      <c r="F476" s="24">
        <f t="shared" si="79"/>
        <v>80</v>
      </c>
      <c r="G476" s="24">
        <f t="shared" si="80"/>
        <v>80</v>
      </c>
      <c r="H476" s="243"/>
    </row>
    <row r="477" s="34" customFormat="1" spans="1:8">
      <c r="A477" s="50">
        <v>2070306</v>
      </c>
      <c r="B477" s="240" t="s">
        <v>379</v>
      </c>
      <c r="C477" s="243">
        <v>0</v>
      </c>
      <c r="D477" s="243">
        <v>0</v>
      </c>
      <c r="E477" s="243"/>
      <c r="F477" s="24">
        <f t="shared" si="79"/>
        <v>0</v>
      </c>
      <c r="G477" s="24">
        <f t="shared" si="80"/>
        <v>0</v>
      </c>
      <c r="H477" s="243"/>
    </row>
    <row r="478" s="34" customFormat="1" spans="1:8">
      <c r="A478" s="50">
        <v>2070307</v>
      </c>
      <c r="B478" s="240" t="s">
        <v>380</v>
      </c>
      <c r="C478" s="243">
        <v>80</v>
      </c>
      <c r="D478" s="243">
        <v>1881</v>
      </c>
      <c r="E478" s="243">
        <f>70+20+50</f>
        <v>140</v>
      </c>
      <c r="F478" s="24">
        <f t="shared" si="79"/>
        <v>175</v>
      </c>
      <c r="G478" s="24">
        <f t="shared" si="80"/>
        <v>7.44284954811271</v>
      </c>
      <c r="H478" s="243"/>
    </row>
    <row r="479" s="34" customFormat="1" spans="1:8">
      <c r="A479" s="50">
        <v>2070308</v>
      </c>
      <c r="B479" s="240" t="s">
        <v>381</v>
      </c>
      <c r="C479" s="243">
        <v>2</v>
      </c>
      <c r="D479" s="243">
        <v>1</v>
      </c>
      <c r="E479" s="243">
        <v>1</v>
      </c>
      <c r="F479" s="24">
        <f t="shared" si="79"/>
        <v>50</v>
      </c>
      <c r="G479" s="24">
        <f t="shared" si="80"/>
        <v>100</v>
      </c>
      <c r="H479" s="243"/>
    </row>
    <row r="480" s="34" customFormat="1" spans="1:8">
      <c r="A480" s="50">
        <v>2070309</v>
      </c>
      <c r="B480" s="240" t="s">
        <v>382</v>
      </c>
      <c r="C480" s="243">
        <v>0</v>
      </c>
      <c r="D480" s="243">
        <v>0</v>
      </c>
      <c r="E480" s="243"/>
      <c r="F480" s="24">
        <f t="shared" si="79"/>
        <v>0</v>
      </c>
      <c r="G480" s="24">
        <f t="shared" si="80"/>
        <v>0</v>
      </c>
      <c r="H480" s="243"/>
    </row>
    <row r="481" s="34" customFormat="1" spans="1:8">
      <c r="A481" s="50">
        <v>2070399</v>
      </c>
      <c r="B481" s="240" t="s">
        <v>383</v>
      </c>
      <c r="C481" s="243">
        <v>0</v>
      </c>
      <c r="D481" s="243">
        <v>0</v>
      </c>
      <c r="E481" s="243"/>
      <c r="F481" s="24">
        <f t="shared" si="79"/>
        <v>0</v>
      </c>
      <c r="G481" s="24">
        <f t="shared" si="80"/>
        <v>0</v>
      </c>
      <c r="H481" s="243"/>
    </row>
    <row r="482" s="34" customFormat="1" spans="1:8">
      <c r="A482" s="50">
        <v>20706</v>
      </c>
      <c r="B482" s="240" t="s">
        <v>384</v>
      </c>
      <c r="C482" s="241">
        <f t="shared" ref="C482:H482" si="83">SUM(C483:C490)</f>
        <v>0</v>
      </c>
      <c r="D482" s="241">
        <f t="shared" si="83"/>
        <v>19</v>
      </c>
      <c r="E482" s="241">
        <f t="shared" si="83"/>
        <v>0</v>
      </c>
      <c r="F482" s="24">
        <f t="shared" si="79"/>
        <v>0</v>
      </c>
      <c r="G482" s="24">
        <f t="shared" si="80"/>
        <v>0</v>
      </c>
      <c r="H482" s="241">
        <f t="shared" si="83"/>
        <v>0</v>
      </c>
    </row>
    <row r="483" s="34" customFormat="1" spans="1:8">
      <c r="A483" s="50">
        <v>2070601</v>
      </c>
      <c r="B483" s="240" t="s">
        <v>68</v>
      </c>
      <c r="C483" s="243"/>
      <c r="D483" s="243"/>
      <c r="E483" s="243"/>
      <c r="F483" s="24">
        <f t="shared" si="79"/>
        <v>0</v>
      </c>
      <c r="G483" s="24">
        <f t="shared" si="80"/>
        <v>0</v>
      </c>
      <c r="H483" s="243"/>
    </row>
    <row r="484" s="34" customFormat="1" spans="1:8">
      <c r="A484" s="50">
        <v>2070602</v>
      </c>
      <c r="B484" s="240" t="s">
        <v>69</v>
      </c>
      <c r="C484" s="243"/>
      <c r="D484" s="243"/>
      <c r="E484" s="243"/>
      <c r="F484" s="24">
        <f t="shared" si="79"/>
        <v>0</v>
      </c>
      <c r="G484" s="24">
        <f t="shared" si="80"/>
        <v>0</v>
      </c>
      <c r="H484" s="243"/>
    </row>
    <row r="485" s="34" customFormat="1" spans="1:8">
      <c r="A485" s="50">
        <v>2070603</v>
      </c>
      <c r="B485" s="240" t="s">
        <v>70</v>
      </c>
      <c r="C485" s="243"/>
      <c r="D485" s="243"/>
      <c r="E485" s="243"/>
      <c r="F485" s="24">
        <f t="shared" si="79"/>
        <v>0</v>
      </c>
      <c r="G485" s="24">
        <f t="shared" si="80"/>
        <v>0</v>
      </c>
      <c r="H485" s="243"/>
    </row>
    <row r="486" s="34" customFormat="1" spans="1:8">
      <c r="A486" s="50">
        <v>2070604</v>
      </c>
      <c r="B486" s="240" t="s">
        <v>385</v>
      </c>
      <c r="C486" s="243"/>
      <c r="D486" s="243"/>
      <c r="E486" s="243"/>
      <c r="F486" s="24">
        <f t="shared" si="79"/>
        <v>0</v>
      </c>
      <c r="G486" s="24">
        <f t="shared" si="80"/>
        <v>0</v>
      </c>
      <c r="H486" s="243"/>
    </row>
    <row r="487" s="34" customFormat="1" spans="1:8">
      <c r="A487" s="50">
        <v>2070605</v>
      </c>
      <c r="B487" s="240" t="s">
        <v>386</v>
      </c>
      <c r="C487" s="243"/>
      <c r="D487" s="243"/>
      <c r="E487" s="243"/>
      <c r="F487" s="24">
        <f t="shared" si="79"/>
        <v>0</v>
      </c>
      <c r="G487" s="24">
        <f t="shared" si="80"/>
        <v>0</v>
      </c>
      <c r="H487" s="243"/>
    </row>
    <row r="488" s="34" customFormat="1" spans="1:8">
      <c r="A488" s="50">
        <v>2070606</v>
      </c>
      <c r="B488" s="240" t="s">
        <v>387</v>
      </c>
      <c r="C488" s="243"/>
      <c r="D488" s="243"/>
      <c r="E488" s="243"/>
      <c r="F488" s="24">
        <f t="shared" si="79"/>
        <v>0</v>
      </c>
      <c r="G488" s="24">
        <f t="shared" si="80"/>
        <v>0</v>
      </c>
      <c r="H488" s="243"/>
    </row>
    <row r="489" s="34" customFormat="1" spans="1:8">
      <c r="A489" s="50">
        <v>2070607</v>
      </c>
      <c r="B489" s="240" t="s">
        <v>388</v>
      </c>
      <c r="C489" s="243"/>
      <c r="D489" s="243"/>
      <c r="E489" s="243"/>
      <c r="F489" s="24">
        <f t="shared" si="79"/>
        <v>0</v>
      </c>
      <c r="G489" s="24">
        <f t="shared" si="80"/>
        <v>0</v>
      </c>
      <c r="H489" s="243"/>
    </row>
    <row r="490" s="34" customFormat="1" spans="1:8">
      <c r="A490" s="50">
        <v>2070699</v>
      </c>
      <c r="B490" s="240" t="s">
        <v>389</v>
      </c>
      <c r="C490" s="243"/>
      <c r="D490" s="243">
        <v>19</v>
      </c>
      <c r="E490" s="243"/>
      <c r="F490" s="24">
        <f t="shared" si="79"/>
        <v>0</v>
      </c>
      <c r="G490" s="24">
        <f t="shared" si="80"/>
        <v>0</v>
      </c>
      <c r="H490" s="243"/>
    </row>
    <row r="491" s="34" customFormat="1" spans="1:8">
      <c r="A491" s="50">
        <v>20708</v>
      </c>
      <c r="B491" s="240" t="s">
        <v>390</v>
      </c>
      <c r="C491" s="241">
        <f t="shared" ref="C491:H491" si="84">SUM(C492:C498)</f>
        <v>406</v>
      </c>
      <c r="D491" s="241">
        <f t="shared" si="84"/>
        <v>1004</v>
      </c>
      <c r="E491" s="241">
        <f t="shared" si="84"/>
        <v>685</v>
      </c>
      <c r="F491" s="24">
        <f t="shared" si="79"/>
        <v>168.71921182266</v>
      </c>
      <c r="G491" s="24">
        <f t="shared" si="80"/>
        <v>68.2270916334661</v>
      </c>
      <c r="H491" s="241">
        <f t="shared" si="84"/>
        <v>0</v>
      </c>
    </row>
    <row r="492" s="34" customFormat="1" spans="1:8">
      <c r="A492" s="50">
        <v>2070801</v>
      </c>
      <c r="B492" s="240" t="s">
        <v>68</v>
      </c>
      <c r="C492" s="243">
        <v>325</v>
      </c>
      <c r="D492" s="243">
        <v>318</v>
      </c>
      <c r="E492" s="243">
        <f>379+100</f>
        <v>479</v>
      </c>
      <c r="F492" s="24">
        <f t="shared" si="79"/>
        <v>147.384615384615</v>
      </c>
      <c r="G492" s="24">
        <f t="shared" si="80"/>
        <v>150.62893081761</v>
      </c>
      <c r="H492" s="243"/>
    </row>
    <row r="493" s="34" customFormat="1" spans="1:8">
      <c r="A493" s="50">
        <v>2070802</v>
      </c>
      <c r="B493" s="240" t="s">
        <v>69</v>
      </c>
      <c r="C493" s="243">
        <v>28</v>
      </c>
      <c r="D493" s="243">
        <v>23</v>
      </c>
      <c r="E493" s="243">
        <v>89</v>
      </c>
      <c r="F493" s="24">
        <f t="shared" si="79"/>
        <v>317.857142857143</v>
      </c>
      <c r="G493" s="24">
        <f t="shared" si="80"/>
        <v>386.95652173913</v>
      </c>
      <c r="H493" s="243"/>
    </row>
    <row r="494" s="34" customFormat="1" spans="1:8">
      <c r="A494" s="50">
        <v>2070803</v>
      </c>
      <c r="B494" s="240" t="s">
        <v>70</v>
      </c>
      <c r="C494" s="243">
        <v>0</v>
      </c>
      <c r="D494" s="243">
        <v>0</v>
      </c>
      <c r="E494" s="243"/>
      <c r="F494" s="24">
        <f t="shared" si="79"/>
        <v>0</v>
      </c>
      <c r="G494" s="24">
        <f t="shared" si="80"/>
        <v>0</v>
      </c>
      <c r="H494" s="243"/>
    </row>
    <row r="495" s="34" customFormat="1" spans="1:8">
      <c r="A495" s="50">
        <v>2070806</v>
      </c>
      <c r="B495" s="240" t="s">
        <v>391</v>
      </c>
      <c r="C495" s="243">
        <v>0</v>
      </c>
      <c r="D495" s="243">
        <v>0</v>
      </c>
      <c r="E495" s="243"/>
      <c r="F495" s="24">
        <f t="shared" si="79"/>
        <v>0</v>
      </c>
      <c r="G495" s="24">
        <f t="shared" si="80"/>
        <v>0</v>
      </c>
      <c r="H495" s="243"/>
    </row>
    <row r="496" s="34" customFormat="1" spans="1:8">
      <c r="A496" s="50">
        <v>2070807</v>
      </c>
      <c r="B496" s="240" t="s">
        <v>392</v>
      </c>
      <c r="C496" s="243">
        <v>0</v>
      </c>
      <c r="D496" s="243">
        <v>0</v>
      </c>
      <c r="E496" s="243">
        <v>4</v>
      </c>
      <c r="F496" s="24">
        <f t="shared" si="79"/>
        <v>0</v>
      </c>
      <c r="G496" s="24">
        <f t="shared" si="80"/>
        <v>0</v>
      </c>
      <c r="H496" s="243"/>
    </row>
    <row r="497" s="34" customFormat="1" spans="1:8">
      <c r="A497" s="50">
        <v>2070808</v>
      </c>
      <c r="B497" s="240" t="s">
        <v>393</v>
      </c>
      <c r="C497" s="243">
        <v>48</v>
      </c>
      <c r="D497" s="243">
        <v>46</v>
      </c>
      <c r="E497" s="243">
        <f>20+50</f>
        <v>70</v>
      </c>
      <c r="F497" s="24">
        <f t="shared" si="79"/>
        <v>145.833333333333</v>
      </c>
      <c r="G497" s="24">
        <f t="shared" si="80"/>
        <v>152.173913043478</v>
      </c>
      <c r="H497" s="243"/>
    </row>
    <row r="498" s="34" customFormat="1" spans="1:8">
      <c r="A498" s="50">
        <v>2070899</v>
      </c>
      <c r="B498" s="240" t="s">
        <v>394</v>
      </c>
      <c r="C498" s="243">
        <v>5</v>
      </c>
      <c r="D498" s="243">
        <v>617</v>
      </c>
      <c r="E498" s="243">
        <f>21+22</f>
        <v>43</v>
      </c>
      <c r="F498" s="24">
        <f t="shared" si="79"/>
        <v>860</v>
      </c>
      <c r="G498" s="24">
        <f t="shared" si="80"/>
        <v>6.96920583468395</v>
      </c>
      <c r="H498" s="243"/>
    </row>
    <row r="499" s="34" customFormat="1" spans="1:8">
      <c r="A499" s="50">
        <v>20799</v>
      </c>
      <c r="B499" s="240" t="s">
        <v>395</v>
      </c>
      <c r="C499" s="241">
        <f t="shared" ref="C499:H499" si="85">SUM(C500:C502)</f>
        <v>26</v>
      </c>
      <c r="D499" s="241">
        <f t="shared" si="85"/>
        <v>97</v>
      </c>
      <c r="E499" s="241">
        <f t="shared" si="85"/>
        <v>85</v>
      </c>
      <c r="F499" s="24">
        <f t="shared" si="79"/>
        <v>326.923076923077</v>
      </c>
      <c r="G499" s="24">
        <f t="shared" si="80"/>
        <v>87.6288659793814</v>
      </c>
      <c r="H499" s="241">
        <f t="shared" si="85"/>
        <v>0</v>
      </c>
    </row>
    <row r="500" s="34" customFormat="1" spans="1:8">
      <c r="A500" s="50">
        <v>2079902</v>
      </c>
      <c r="B500" s="240" t="s">
        <v>396</v>
      </c>
      <c r="C500" s="243"/>
      <c r="D500" s="243"/>
      <c r="E500" s="243"/>
      <c r="F500" s="24">
        <f t="shared" si="79"/>
        <v>0</v>
      </c>
      <c r="G500" s="24">
        <f t="shared" si="80"/>
        <v>0</v>
      </c>
      <c r="H500" s="243"/>
    </row>
    <row r="501" s="34" customFormat="1" spans="1:8">
      <c r="A501" s="50">
        <v>2079903</v>
      </c>
      <c r="B501" s="240" t="s">
        <v>397</v>
      </c>
      <c r="C501" s="243"/>
      <c r="D501" s="243"/>
      <c r="E501" s="243"/>
      <c r="F501" s="24">
        <f t="shared" si="79"/>
        <v>0</v>
      </c>
      <c r="G501" s="24">
        <f t="shared" si="80"/>
        <v>0</v>
      </c>
      <c r="H501" s="243"/>
    </row>
    <row r="502" s="34" customFormat="1" spans="1:8">
      <c r="A502" s="50">
        <v>2079999</v>
      </c>
      <c r="B502" s="240" t="s">
        <v>398</v>
      </c>
      <c r="C502" s="243">
        <v>26</v>
      </c>
      <c r="D502" s="243">
        <v>97</v>
      </c>
      <c r="E502" s="243">
        <f>6+29+50</f>
        <v>85</v>
      </c>
      <c r="F502" s="24">
        <f t="shared" si="79"/>
        <v>326.923076923077</v>
      </c>
      <c r="G502" s="24">
        <f t="shared" si="80"/>
        <v>87.6288659793814</v>
      </c>
      <c r="H502" s="243"/>
    </row>
    <row r="503" s="34" customFormat="1" spans="1:8">
      <c r="A503" s="50">
        <v>208</v>
      </c>
      <c r="B503" s="240" t="s">
        <v>399</v>
      </c>
      <c r="C503" s="241">
        <f t="shared" ref="C503:H503" si="86">SUM(C504,C523,C531,C533,C542,C546,C556,C565,C572,C580,C589,C594,C597,C600,C603,C606,C609,C613,C617,C625,C628)</f>
        <v>20718</v>
      </c>
      <c r="D503" s="241">
        <f t="shared" si="86"/>
        <v>26073</v>
      </c>
      <c r="E503" s="241">
        <f t="shared" si="86"/>
        <v>29058</v>
      </c>
      <c r="F503" s="24">
        <f t="shared" si="79"/>
        <v>140.25485085433</v>
      </c>
      <c r="G503" s="24">
        <f t="shared" si="80"/>
        <v>111.448625014383</v>
      </c>
      <c r="H503" s="241">
        <f t="shared" si="86"/>
        <v>0</v>
      </c>
    </row>
    <row r="504" s="34" customFormat="1" spans="1:8">
      <c r="A504" s="50">
        <v>20801</v>
      </c>
      <c r="B504" s="240" t="s">
        <v>400</v>
      </c>
      <c r="C504" s="241">
        <f t="shared" ref="C504:H504" si="87">SUM(C505:C522)</f>
        <v>574</v>
      </c>
      <c r="D504" s="241">
        <f t="shared" si="87"/>
        <v>649</v>
      </c>
      <c r="E504" s="241">
        <f t="shared" si="87"/>
        <v>715</v>
      </c>
      <c r="F504" s="24">
        <f t="shared" si="79"/>
        <v>124.564459930314</v>
      </c>
      <c r="G504" s="24">
        <f t="shared" si="80"/>
        <v>110.169491525424</v>
      </c>
      <c r="H504" s="241">
        <f t="shared" si="87"/>
        <v>0</v>
      </c>
    </row>
    <row r="505" s="34" customFormat="1" spans="1:8">
      <c r="A505" s="50">
        <v>2080101</v>
      </c>
      <c r="B505" s="240" t="s">
        <v>68</v>
      </c>
      <c r="C505" s="243">
        <v>194</v>
      </c>
      <c r="D505" s="243">
        <v>209</v>
      </c>
      <c r="E505" s="243">
        <v>227</v>
      </c>
      <c r="F505" s="24">
        <f t="shared" si="79"/>
        <v>117.010309278351</v>
      </c>
      <c r="G505" s="24">
        <f t="shared" si="80"/>
        <v>108.612440191388</v>
      </c>
      <c r="H505" s="243"/>
    </row>
    <row r="506" s="34" customFormat="1" spans="1:8">
      <c r="A506" s="50">
        <v>2080102</v>
      </c>
      <c r="B506" s="240" t="s">
        <v>69</v>
      </c>
      <c r="C506" s="243">
        <v>45</v>
      </c>
      <c r="D506" s="243">
        <v>62</v>
      </c>
      <c r="E506" s="243">
        <v>87</v>
      </c>
      <c r="F506" s="24">
        <f t="shared" si="79"/>
        <v>193.333333333333</v>
      </c>
      <c r="G506" s="24">
        <f t="shared" si="80"/>
        <v>140.322580645161</v>
      </c>
      <c r="H506" s="243"/>
    </row>
    <row r="507" s="34" customFormat="1" spans="1:8">
      <c r="A507" s="50">
        <v>2080103</v>
      </c>
      <c r="B507" s="240" t="s">
        <v>70</v>
      </c>
      <c r="C507" s="243">
        <v>0</v>
      </c>
      <c r="D507" s="243">
        <v>0</v>
      </c>
      <c r="E507" s="243"/>
      <c r="F507" s="24">
        <f t="shared" si="79"/>
        <v>0</v>
      </c>
      <c r="G507" s="24">
        <f t="shared" si="80"/>
        <v>0</v>
      </c>
      <c r="H507" s="243"/>
    </row>
    <row r="508" s="34" customFormat="1" spans="1:8">
      <c r="A508" s="50">
        <v>2080104</v>
      </c>
      <c r="B508" s="240" t="s">
        <v>401</v>
      </c>
      <c r="C508" s="243">
        <v>0</v>
      </c>
      <c r="D508" s="243">
        <v>0</v>
      </c>
      <c r="E508" s="243"/>
      <c r="F508" s="24">
        <f t="shared" si="79"/>
        <v>0</v>
      </c>
      <c r="G508" s="24">
        <f t="shared" si="80"/>
        <v>0</v>
      </c>
      <c r="H508" s="243"/>
    </row>
    <row r="509" s="34" customFormat="1" spans="1:8">
      <c r="A509" s="50">
        <v>2080105</v>
      </c>
      <c r="B509" s="240" t="s">
        <v>402</v>
      </c>
      <c r="C509" s="243">
        <v>0</v>
      </c>
      <c r="D509" s="243">
        <v>0</v>
      </c>
      <c r="E509" s="243"/>
      <c r="F509" s="24">
        <f t="shared" si="79"/>
        <v>0</v>
      </c>
      <c r="G509" s="24">
        <f t="shared" si="80"/>
        <v>0</v>
      </c>
      <c r="H509" s="243"/>
    </row>
    <row r="510" s="34" customFormat="1" spans="1:8">
      <c r="A510" s="50">
        <v>2080106</v>
      </c>
      <c r="B510" s="240" t="s">
        <v>403</v>
      </c>
      <c r="C510" s="243">
        <v>0</v>
      </c>
      <c r="D510" s="243">
        <v>0</v>
      </c>
      <c r="E510" s="243"/>
      <c r="F510" s="24">
        <f t="shared" si="79"/>
        <v>0</v>
      </c>
      <c r="G510" s="24">
        <f t="shared" si="80"/>
        <v>0</v>
      </c>
      <c r="H510" s="243"/>
    </row>
    <row r="511" s="34" customFormat="1" spans="1:8">
      <c r="A511" s="50">
        <v>2080107</v>
      </c>
      <c r="B511" s="240" t="s">
        <v>404</v>
      </c>
      <c r="C511" s="243">
        <v>0</v>
      </c>
      <c r="D511" s="243">
        <v>0</v>
      </c>
      <c r="E511" s="243"/>
      <c r="F511" s="24">
        <f t="shared" si="79"/>
        <v>0</v>
      </c>
      <c r="G511" s="24">
        <f t="shared" si="80"/>
        <v>0</v>
      </c>
      <c r="H511" s="243"/>
    </row>
    <row r="512" s="34" customFormat="1" spans="1:8">
      <c r="A512" s="50">
        <v>2080108</v>
      </c>
      <c r="B512" s="240" t="s">
        <v>109</v>
      </c>
      <c r="C512" s="243">
        <v>0</v>
      </c>
      <c r="D512" s="243">
        <v>0</v>
      </c>
      <c r="E512" s="243"/>
      <c r="F512" s="24">
        <f t="shared" si="79"/>
        <v>0</v>
      </c>
      <c r="G512" s="24">
        <f t="shared" si="80"/>
        <v>0</v>
      </c>
      <c r="H512" s="243"/>
    </row>
    <row r="513" s="34" customFormat="1" spans="1:8">
      <c r="A513" s="50">
        <v>2080109</v>
      </c>
      <c r="B513" s="240" t="s">
        <v>405</v>
      </c>
      <c r="C513" s="243">
        <v>227</v>
      </c>
      <c r="D513" s="243">
        <v>246</v>
      </c>
      <c r="E513" s="243">
        <f>275+13</f>
        <v>288</v>
      </c>
      <c r="F513" s="24">
        <f t="shared" si="79"/>
        <v>126.872246696035</v>
      </c>
      <c r="G513" s="24">
        <f t="shared" si="80"/>
        <v>117.073170731707</v>
      </c>
      <c r="H513" s="243"/>
    </row>
    <row r="514" s="34" customFormat="1" spans="1:8">
      <c r="A514" s="50">
        <v>2080110</v>
      </c>
      <c r="B514" s="240" t="s">
        <v>406</v>
      </c>
      <c r="C514" s="243">
        <v>0</v>
      </c>
      <c r="D514" s="243">
        <v>0</v>
      </c>
      <c r="E514" s="243"/>
      <c r="F514" s="24">
        <f t="shared" si="79"/>
        <v>0</v>
      </c>
      <c r="G514" s="24">
        <f t="shared" si="80"/>
        <v>0</v>
      </c>
      <c r="H514" s="243"/>
    </row>
    <row r="515" s="34" customFormat="1" spans="1:8">
      <c r="A515" s="50">
        <v>2080111</v>
      </c>
      <c r="B515" s="240" t="s">
        <v>407</v>
      </c>
      <c r="C515" s="243">
        <v>54</v>
      </c>
      <c r="D515" s="243">
        <v>55</v>
      </c>
      <c r="E515" s="243">
        <v>63</v>
      </c>
      <c r="F515" s="24">
        <f t="shared" si="79"/>
        <v>116.666666666667</v>
      </c>
      <c r="G515" s="24">
        <f t="shared" si="80"/>
        <v>114.545454545455</v>
      </c>
      <c r="H515" s="243"/>
    </row>
    <row r="516" s="34" customFormat="1" spans="1:8">
      <c r="A516" s="50">
        <v>2080112</v>
      </c>
      <c r="B516" s="240" t="s">
        <v>408</v>
      </c>
      <c r="C516" s="243">
        <v>0</v>
      </c>
      <c r="D516" s="243">
        <v>0</v>
      </c>
      <c r="E516" s="243"/>
      <c r="F516" s="24">
        <f t="shared" si="79"/>
        <v>0</v>
      </c>
      <c r="G516" s="24">
        <f t="shared" si="80"/>
        <v>0</v>
      </c>
      <c r="H516" s="243"/>
    </row>
    <row r="517" s="34" customFormat="1" spans="1:8">
      <c r="A517" s="50">
        <v>2080113</v>
      </c>
      <c r="B517" s="240" t="s">
        <v>409</v>
      </c>
      <c r="C517" s="243">
        <v>0</v>
      </c>
      <c r="D517" s="243">
        <v>0</v>
      </c>
      <c r="E517" s="243"/>
      <c r="F517" s="24">
        <f t="shared" si="79"/>
        <v>0</v>
      </c>
      <c r="G517" s="24">
        <f t="shared" si="80"/>
        <v>0</v>
      </c>
      <c r="H517" s="243"/>
    </row>
    <row r="518" s="34" customFormat="1" spans="1:8">
      <c r="A518" s="50">
        <v>2080114</v>
      </c>
      <c r="B518" s="240" t="s">
        <v>410</v>
      </c>
      <c r="C518" s="243">
        <v>0</v>
      </c>
      <c r="D518" s="243">
        <v>0</v>
      </c>
      <c r="E518" s="243"/>
      <c r="F518" s="24">
        <f t="shared" ref="F518:F581" si="88">IF(C518&gt;0,E518/C518*100,)</f>
        <v>0</v>
      </c>
      <c r="G518" s="24">
        <f t="shared" ref="G518:G581" si="89">IF(D518&gt;0,E518/D518*100,)</f>
        <v>0</v>
      </c>
      <c r="H518" s="243"/>
    </row>
    <row r="519" s="34" customFormat="1" spans="1:8">
      <c r="A519" s="50">
        <v>2080115</v>
      </c>
      <c r="B519" s="240" t="s">
        <v>411</v>
      </c>
      <c r="C519" s="243">
        <v>0</v>
      </c>
      <c r="D519" s="243">
        <v>0</v>
      </c>
      <c r="E519" s="243"/>
      <c r="F519" s="24">
        <f t="shared" si="88"/>
        <v>0</v>
      </c>
      <c r="G519" s="24">
        <f t="shared" si="89"/>
        <v>0</v>
      </c>
      <c r="H519" s="243"/>
    </row>
    <row r="520" s="34" customFormat="1" spans="1:8">
      <c r="A520" s="50">
        <v>2080116</v>
      </c>
      <c r="B520" s="240" t="s">
        <v>412</v>
      </c>
      <c r="C520" s="243">
        <v>0</v>
      </c>
      <c r="D520" s="243">
        <v>0</v>
      </c>
      <c r="E520" s="243"/>
      <c r="F520" s="24">
        <f t="shared" si="88"/>
        <v>0</v>
      </c>
      <c r="G520" s="24">
        <f t="shared" si="89"/>
        <v>0</v>
      </c>
      <c r="H520" s="243"/>
    </row>
    <row r="521" s="34" customFormat="1" spans="1:8">
      <c r="A521" s="50">
        <v>2080150</v>
      </c>
      <c r="B521" s="240" t="s">
        <v>77</v>
      </c>
      <c r="C521" s="243">
        <v>0</v>
      </c>
      <c r="D521" s="243">
        <v>0</v>
      </c>
      <c r="E521" s="243"/>
      <c r="F521" s="24">
        <f t="shared" si="88"/>
        <v>0</v>
      </c>
      <c r="G521" s="24">
        <f t="shared" si="89"/>
        <v>0</v>
      </c>
      <c r="H521" s="243"/>
    </row>
    <row r="522" s="34" customFormat="1" spans="1:8">
      <c r="A522" s="50">
        <v>2080199</v>
      </c>
      <c r="B522" s="240" t="s">
        <v>413</v>
      </c>
      <c r="C522" s="243">
        <v>54</v>
      </c>
      <c r="D522" s="243">
        <v>77</v>
      </c>
      <c r="E522" s="243">
        <f>114+12-76</f>
        <v>50</v>
      </c>
      <c r="F522" s="24">
        <f t="shared" si="88"/>
        <v>92.5925925925926</v>
      </c>
      <c r="G522" s="24">
        <f t="shared" si="89"/>
        <v>64.9350649350649</v>
      </c>
      <c r="H522" s="243"/>
    </row>
    <row r="523" s="34" customFormat="1" spans="1:8">
      <c r="A523" s="50">
        <v>20802</v>
      </c>
      <c r="B523" s="240" t="s">
        <v>414</v>
      </c>
      <c r="C523" s="241">
        <f t="shared" ref="C523:H523" si="90">SUM(C524:C530)</f>
        <v>317</v>
      </c>
      <c r="D523" s="241">
        <f t="shared" si="90"/>
        <v>364</v>
      </c>
      <c r="E523" s="241">
        <f t="shared" si="90"/>
        <v>441</v>
      </c>
      <c r="F523" s="24">
        <f t="shared" si="88"/>
        <v>139.116719242902</v>
      </c>
      <c r="G523" s="24">
        <f t="shared" si="89"/>
        <v>121.153846153846</v>
      </c>
      <c r="H523" s="241">
        <f t="shared" si="90"/>
        <v>0</v>
      </c>
    </row>
    <row r="524" s="34" customFormat="1" spans="1:8">
      <c r="A524" s="50">
        <v>2080201</v>
      </c>
      <c r="B524" s="240" t="s">
        <v>68</v>
      </c>
      <c r="C524" s="243">
        <v>235</v>
      </c>
      <c r="D524" s="243">
        <v>246</v>
      </c>
      <c r="E524" s="243">
        <v>293</v>
      </c>
      <c r="F524" s="24">
        <f t="shared" si="88"/>
        <v>124.68085106383</v>
      </c>
      <c r="G524" s="24">
        <f t="shared" si="89"/>
        <v>119.105691056911</v>
      </c>
      <c r="H524" s="243"/>
    </row>
    <row r="525" s="34" customFormat="1" spans="1:8">
      <c r="A525" s="50">
        <v>2080202</v>
      </c>
      <c r="B525" s="240" t="s">
        <v>69</v>
      </c>
      <c r="C525" s="243">
        <v>54</v>
      </c>
      <c r="D525" s="243">
        <v>57</v>
      </c>
      <c r="E525" s="243">
        <v>112</v>
      </c>
      <c r="F525" s="24">
        <f t="shared" si="88"/>
        <v>207.407407407407</v>
      </c>
      <c r="G525" s="24">
        <f t="shared" si="89"/>
        <v>196.491228070175</v>
      </c>
      <c r="H525" s="243"/>
    </row>
    <row r="526" s="34" customFormat="1" spans="1:8">
      <c r="A526" s="50">
        <v>2080203</v>
      </c>
      <c r="B526" s="240" t="s">
        <v>70</v>
      </c>
      <c r="C526" s="243">
        <v>0</v>
      </c>
      <c r="D526" s="243">
        <v>0</v>
      </c>
      <c r="E526" s="243"/>
      <c r="F526" s="24">
        <f t="shared" si="88"/>
        <v>0</v>
      </c>
      <c r="G526" s="24">
        <f t="shared" si="89"/>
        <v>0</v>
      </c>
      <c r="H526" s="243"/>
    </row>
    <row r="527" s="34" customFormat="1" spans="1:8">
      <c r="A527" s="50">
        <v>2080206</v>
      </c>
      <c r="B527" s="240" t="s">
        <v>415</v>
      </c>
      <c r="C527" s="243">
        <v>1</v>
      </c>
      <c r="D527" s="243">
        <v>1</v>
      </c>
      <c r="E527" s="243">
        <v>1</v>
      </c>
      <c r="F527" s="24">
        <f t="shared" si="88"/>
        <v>100</v>
      </c>
      <c r="G527" s="24">
        <f t="shared" si="89"/>
        <v>100</v>
      </c>
      <c r="H527" s="243"/>
    </row>
    <row r="528" s="34" customFormat="1" spans="1:8">
      <c r="A528" s="50">
        <v>2080207</v>
      </c>
      <c r="B528" s="240" t="s">
        <v>416</v>
      </c>
      <c r="C528" s="243">
        <v>8</v>
      </c>
      <c r="D528" s="243">
        <v>8</v>
      </c>
      <c r="E528" s="243">
        <v>12</v>
      </c>
      <c r="F528" s="24">
        <f t="shared" si="88"/>
        <v>150</v>
      </c>
      <c r="G528" s="24">
        <f t="shared" si="89"/>
        <v>150</v>
      </c>
      <c r="H528" s="243"/>
    </row>
    <row r="529" s="34" customFormat="1" spans="1:8">
      <c r="A529" s="50">
        <v>2080208</v>
      </c>
      <c r="B529" s="240" t="s">
        <v>417</v>
      </c>
      <c r="C529" s="243">
        <v>8</v>
      </c>
      <c r="D529" s="243">
        <v>8</v>
      </c>
      <c r="E529" s="243">
        <v>11</v>
      </c>
      <c r="F529" s="24">
        <f t="shared" si="88"/>
        <v>137.5</v>
      </c>
      <c r="G529" s="24">
        <f t="shared" si="89"/>
        <v>137.5</v>
      </c>
      <c r="H529" s="243"/>
    </row>
    <row r="530" s="34" customFormat="1" spans="1:8">
      <c r="A530" s="50">
        <v>2080299</v>
      </c>
      <c r="B530" s="240" t="s">
        <v>418</v>
      </c>
      <c r="C530" s="243">
        <v>11</v>
      </c>
      <c r="D530" s="243">
        <v>44</v>
      </c>
      <c r="E530" s="243">
        <v>12</v>
      </c>
      <c r="F530" s="24">
        <f t="shared" si="88"/>
        <v>109.090909090909</v>
      </c>
      <c r="G530" s="24">
        <f t="shared" si="89"/>
        <v>27.2727272727273</v>
      </c>
      <c r="H530" s="243"/>
    </row>
    <row r="531" s="34" customFormat="1" spans="1:8">
      <c r="A531" s="50">
        <v>20804</v>
      </c>
      <c r="B531" s="240" t="s">
        <v>419</v>
      </c>
      <c r="C531" s="241">
        <f t="shared" ref="C531:H531" si="91">SUM(C532)</f>
        <v>0</v>
      </c>
      <c r="D531" s="241">
        <f t="shared" si="91"/>
        <v>0</v>
      </c>
      <c r="E531" s="241">
        <f t="shared" si="91"/>
        <v>0</v>
      </c>
      <c r="F531" s="24">
        <f t="shared" si="88"/>
        <v>0</v>
      </c>
      <c r="G531" s="24">
        <f t="shared" si="89"/>
        <v>0</v>
      </c>
      <c r="H531" s="241">
        <f t="shared" si="91"/>
        <v>0</v>
      </c>
    </row>
    <row r="532" s="34" customFormat="1" spans="1:8">
      <c r="A532" s="50">
        <v>2080402</v>
      </c>
      <c r="B532" s="240" t="s">
        <v>420</v>
      </c>
      <c r="C532" s="243"/>
      <c r="D532" s="243"/>
      <c r="E532" s="243"/>
      <c r="F532" s="24">
        <f t="shared" si="88"/>
        <v>0</v>
      </c>
      <c r="G532" s="24">
        <f t="shared" si="89"/>
        <v>0</v>
      </c>
      <c r="H532" s="243"/>
    </row>
    <row r="533" s="34" customFormat="1" spans="1:8">
      <c r="A533" s="50">
        <v>20805</v>
      </c>
      <c r="B533" s="240" t="s">
        <v>421</v>
      </c>
      <c r="C533" s="241">
        <f t="shared" ref="C533:H533" si="92">SUM(C534:C541)</f>
        <v>10010</v>
      </c>
      <c r="D533" s="241">
        <f t="shared" si="92"/>
        <v>13204</v>
      </c>
      <c r="E533" s="241">
        <f t="shared" si="92"/>
        <v>15765</v>
      </c>
      <c r="F533" s="24">
        <f t="shared" si="88"/>
        <v>157.492507492507</v>
      </c>
      <c r="G533" s="24">
        <f t="shared" si="89"/>
        <v>119.39563768555</v>
      </c>
      <c r="H533" s="241">
        <f t="shared" si="92"/>
        <v>0</v>
      </c>
    </row>
    <row r="534" s="34" customFormat="1" spans="1:8">
      <c r="A534" s="50">
        <v>2080501</v>
      </c>
      <c r="B534" s="240" t="s">
        <v>422</v>
      </c>
      <c r="C534" s="243">
        <v>0</v>
      </c>
      <c r="D534" s="243"/>
      <c r="E534" s="243"/>
      <c r="F534" s="24">
        <f t="shared" si="88"/>
        <v>0</v>
      </c>
      <c r="G534" s="24">
        <f t="shared" si="89"/>
        <v>0</v>
      </c>
      <c r="H534" s="243"/>
    </row>
    <row r="535" s="34" customFormat="1" spans="1:8">
      <c r="A535" s="50">
        <v>2080502</v>
      </c>
      <c r="B535" s="240" t="s">
        <v>423</v>
      </c>
      <c r="C535" s="243">
        <v>0</v>
      </c>
      <c r="D535" s="243"/>
      <c r="E535" s="243"/>
      <c r="F535" s="24">
        <f t="shared" si="88"/>
        <v>0</v>
      </c>
      <c r="G535" s="24">
        <f t="shared" si="89"/>
        <v>0</v>
      </c>
      <c r="H535" s="243"/>
    </row>
    <row r="536" s="34" customFormat="1" spans="1:8">
      <c r="A536" s="50">
        <v>2080503</v>
      </c>
      <c r="B536" s="240" t="s">
        <v>424</v>
      </c>
      <c r="C536" s="243">
        <v>0</v>
      </c>
      <c r="D536" s="243"/>
      <c r="E536" s="243"/>
      <c r="F536" s="24">
        <f t="shared" si="88"/>
        <v>0</v>
      </c>
      <c r="G536" s="24">
        <f t="shared" si="89"/>
        <v>0</v>
      </c>
      <c r="H536" s="243"/>
    </row>
    <row r="537" s="34" customFormat="1" spans="1:8">
      <c r="A537" s="50">
        <v>2080505</v>
      </c>
      <c r="B537" s="240" t="s">
        <v>425</v>
      </c>
      <c r="C537" s="243">
        <v>5872</v>
      </c>
      <c r="D537" s="243">
        <v>5803</v>
      </c>
      <c r="E537" s="243">
        <f>6166-300</f>
        <v>5866</v>
      </c>
      <c r="F537" s="24">
        <f t="shared" si="88"/>
        <v>99.8978201634877</v>
      </c>
      <c r="G537" s="24">
        <f t="shared" si="89"/>
        <v>101.08564535585</v>
      </c>
      <c r="H537" s="243"/>
    </row>
    <row r="538" s="34" customFormat="1" spans="1:8">
      <c r="A538" s="50">
        <v>2080506</v>
      </c>
      <c r="B538" s="240" t="s">
        <v>426</v>
      </c>
      <c r="C538" s="243">
        <v>2936</v>
      </c>
      <c r="D538" s="243">
        <v>560</v>
      </c>
      <c r="E538" s="243">
        <f>3517-500</f>
        <v>3017</v>
      </c>
      <c r="F538" s="24">
        <f t="shared" si="88"/>
        <v>102.758855585831</v>
      </c>
      <c r="G538" s="24">
        <f t="shared" si="89"/>
        <v>538.75</v>
      </c>
      <c r="H538" s="243"/>
    </row>
    <row r="539" s="34" customFormat="1" spans="1:8">
      <c r="A539" s="50">
        <v>2080507</v>
      </c>
      <c r="B539" s="240" t="s">
        <v>427</v>
      </c>
      <c r="C539" s="243">
        <v>1202</v>
      </c>
      <c r="D539" s="243">
        <v>6841</v>
      </c>
      <c r="E539" s="243">
        <f>8682-1800</f>
        <v>6882</v>
      </c>
      <c r="F539" s="24">
        <f t="shared" si="88"/>
        <v>572.545757071547</v>
      </c>
      <c r="G539" s="24">
        <f t="shared" si="89"/>
        <v>100.599327583687</v>
      </c>
      <c r="H539" s="243"/>
    </row>
    <row r="540" s="34" customFormat="1" spans="1:8">
      <c r="A540" s="50">
        <v>2080508</v>
      </c>
      <c r="B540" s="240" t="s">
        <v>428</v>
      </c>
      <c r="C540" s="243">
        <v>0</v>
      </c>
      <c r="D540" s="243"/>
      <c r="E540" s="243"/>
      <c r="F540" s="24">
        <f t="shared" si="88"/>
        <v>0</v>
      </c>
      <c r="G540" s="24">
        <f t="shared" si="89"/>
        <v>0</v>
      </c>
      <c r="H540" s="243"/>
    </row>
    <row r="541" s="34" customFormat="1" spans="1:8">
      <c r="A541" s="50">
        <v>2080599</v>
      </c>
      <c r="B541" s="240" t="s">
        <v>429</v>
      </c>
      <c r="C541" s="243">
        <v>0</v>
      </c>
      <c r="D541" s="243"/>
      <c r="E541" s="243"/>
      <c r="F541" s="24">
        <f t="shared" si="88"/>
        <v>0</v>
      </c>
      <c r="G541" s="24">
        <f t="shared" si="89"/>
        <v>0</v>
      </c>
      <c r="H541" s="243"/>
    </row>
    <row r="542" s="34" customFormat="1" spans="1:8">
      <c r="A542" s="50">
        <v>20806</v>
      </c>
      <c r="B542" s="240" t="s">
        <v>430</v>
      </c>
      <c r="C542" s="241">
        <f t="shared" ref="C542:H542" si="93">SUM(C543:C545)</f>
        <v>0</v>
      </c>
      <c r="D542" s="241">
        <f t="shared" si="93"/>
        <v>0</v>
      </c>
      <c r="E542" s="241">
        <f t="shared" si="93"/>
        <v>0</v>
      </c>
      <c r="F542" s="24">
        <f t="shared" si="88"/>
        <v>0</v>
      </c>
      <c r="G542" s="24">
        <f t="shared" si="89"/>
        <v>0</v>
      </c>
      <c r="H542" s="241">
        <f t="shared" si="93"/>
        <v>0</v>
      </c>
    </row>
    <row r="543" s="34" customFormat="1" spans="1:8">
      <c r="A543" s="50">
        <v>2080601</v>
      </c>
      <c r="B543" s="240" t="s">
        <v>431</v>
      </c>
      <c r="C543" s="243"/>
      <c r="D543" s="243"/>
      <c r="E543" s="243"/>
      <c r="F543" s="24">
        <f t="shared" si="88"/>
        <v>0</v>
      </c>
      <c r="G543" s="24">
        <f t="shared" si="89"/>
        <v>0</v>
      </c>
      <c r="H543" s="243"/>
    </row>
    <row r="544" s="34" customFormat="1" spans="1:8">
      <c r="A544" s="50">
        <v>2080602</v>
      </c>
      <c r="B544" s="240" t="s">
        <v>432</v>
      </c>
      <c r="C544" s="243"/>
      <c r="D544" s="243"/>
      <c r="E544" s="243"/>
      <c r="F544" s="24">
        <f t="shared" si="88"/>
        <v>0</v>
      </c>
      <c r="G544" s="24">
        <f t="shared" si="89"/>
        <v>0</v>
      </c>
      <c r="H544" s="243"/>
    </row>
    <row r="545" s="34" customFormat="1" spans="1:8">
      <c r="A545" s="50">
        <v>2080699</v>
      </c>
      <c r="B545" s="240" t="s">
        <v>433</v>
      </c>
      <c r="C545" s="243"/>
      <c r="D545" s="243"/>
      <c r="E545" s="243"/>
      <c r="F545" s="24">
        <f t="shared" si="88"/>
        <v>0</v>
      </c>
      <c r="G545" s="24">
        <f t="shared" si="89"/>
        <v>0</v>
      </c>
      <c r="H545" s="243"/>
    </row>
    <row r="546" s="34" customFormat="1" spans="1:8">
      <c r="A546" s="50">
        <v>20807</v>
      </c>
      <c r="B546" s="240" t="s">
        <v>434</v>
      </c>
      <c r="C546" s="241">
        <f t="shared" ref="C546:H546" si="94">SUM(C547:C555)</f>
        <v>448</v>
      </c>
      <c r="D546" s="241">
        <f t="shared" si="94"/>
        <v>819</v>
      </c>
      <c r="E546" s="241">
        <f t="shared" si="94"/>
        <v>818</v>
      </c>
      <c r="F546" s="24">
        <f t="shared" si="88"/>
        <v>182.589285714286</v>
      </c>
      <c r="G546" s="24">
        <f t="shared" si="89"/>
        <v>99.8778998778999</v>
      </c>
      <c r="H546" s="241">
        <f t="shared" si="94"/>
        <v>0</v>
      </c>
    </row>
    <row r="547" s="34" customFormat="1" spans="1:8">
      <c r="A547" s="50">
        <v>2080701</v>
      </c>
      <c r="B547" s="240" t="s">
        <v>435</v>
      </c>
      <c r="C547" s="243"/>
      <c r="D547" s="243">
        <v>68</v>
      </c>
      <c r="E547" s="243"/>
      <c r="F547" s="24">
        <f t="shared" si="88"/>
        <v>0</v>
      </c>
      <c r="G547" s="24">
        <f t="shared" si="89"/>
        <v>0</v>
      </c>
      <c r="H547" s="243"/>
    </row>
    <row r="548" s="34" customFormat="1" spans="1:8">
      <c r="A548" s="50">
        <v>2080702</v>
      </c>
      <c r="B548" s="240" t="s">
        <v>436</v>
      </c>
      <c r="C548" s="243"/>
      <c r="D548" s="243">
        <v>88</v>
      </c>
      <c r="E548" s="243">
        <v>62</v>
      </c>
      <c r="F548" s="24">
        <f t="shared" si="88"/>
        <v>0</v>
      </c>
      <c r="G548" s="24">
        <f t="shared" si="89"/>
        <v>70.4545454545455</v>
      </c>
      <c r="H548" s="243"/>
    </row>
    <row r="549" s="34" customFormat="1" spans="1:8">
      <c r="A549" s="50">
        <v>2080704</v>
      </c>
      <c r="B549" s="240" t="s">
        <v>437</v>
      </c>
      <c r="C549" s="243"/>
      <c r="D549" s="243">
        <v>209</v>
      </c>
      <c r="E549" s="243">
        <v>182</v>
      </c>
      <c r="F549" s="24">
        <f t="shared" si="88"/>
        <v>0</v>
      </c>
      <c r="G549" s="24">
        <f t="shared" si="89"/>
        <v>87.0813397129187</v>
      </c>
      <c r="H549" s="243"/>
    </row>
    <row r="550" s="34" customFormat="1" spans="1:8">
      <c r="A550" s="50">
        <v>2080705</v>
      </c>
      <c r="B550" s="240" t="s">
        <v>438</v>
      </c>
      <c r="C550" s="243">
        <v>448</v>
      </c>
      <c r="D550" s="243">
        <v>332</v>
      </c>
      <c r="E550" s="243">
        <v>380</v>
      </c>
      <c r="F550" s="24">
        <f t="shared" si="88"/>
        <v>84.8214285714286</v>
      </c>
      <c r="G550" s="24">
        <f t="shared" si="89"/>
        <v>114.457831325301</v>
      </c>
      <c r="H550" s="243"/>
    </row>
    <row r="551" s="34" customFormat="1" spans="1:8">
      <c r="A551" s="50">
        <v>2080709</v>
      </c>
      <c r="B551" s="240" t="s">
        <v>439</v>
      </c>
      <c r="C551" s="243"/>
      <c r="D551" s="243">
        <v>0</v>
      </c>
      <c r="E551" s="243"/>
      <c r="F551" s="24">
        <f t="shared" si="88"/>
        <v>0</v>
      </c>
      <c r="G551" s="24">
        <f t="shared" si="89"/>
        <v>0</v>
      </c>
      <c r="H551" s="243"/>
    </row>
    <row r="552" s="34" customFormat="1" spans="1:8">
      <c r="A552" s="50">
        <v>2080711</v>
      </c>
      <c r="B552" s="240" t="s">
        <v>440</v>
      </c>
      <c r="C552" s="243"/>
      <c r="D552" s="243">
        <v>36</v>
      </c>
      <c r="E552" s="243">
        <v>40</v>
      </c>
      <c r="F552" s="24">
        <f t="shared" si="88"/>
        <v>0</v>
      </c>
      <c r="G552" s="24">
        <f t="shared" si="89"/>
        <v>111.111111111111</v>
      </c>
      <c r="H552" s="243"/>
    </row>
    <row r="553" s="34" customFormat="1" spans="1:8">
      <c r="A553" s="50">
        <v>2080712</v>
      </c>
      <c r="B553" s="240" t="s">
        <v>441</v>
      </c>
      <c r="C553" s="243"/>
      <c r="D553" s="243">
        <v>0</v>
      </c>
      <c r="E553" s="243"/>
      <c r="F553" s="24">
        <f t="shared" si="88"/>
        <v>0</v>
      </c>
      <c r="G553" s="24">
        <f t="shared" si="89"/>
        <v>0</v>
      </c>
      <c r="H553" s="243"/>
    </row>
    <row r="554" s="34" customFormat="1" spans="1:8">
      <c r="A554" s="50">
        <v>2080713</v>
      </c>
      <c r="B554" s="240" t="s">
        <v>442</v>
      </c>
      <c r="C554" s="243"/>
      <c r="D554" s="243">
        <v>2</v>
      </c>
      <c r="E554" s="243">
        <v>84</v>
      </c>
      <c r="F554" s="24">
        <f t="shared" si="88"/>
        <v>0</v>
      </c>
      <c r="G554" s="24">
        <f t="shared" si="89"/>
        <v>4200</v>
      </c>
      <c r="H554" s="243"/>
    </row>
    <row r="555" s="34" customFormat="1" spans="1:8">
      <c r="A555" s="50">
        <v>2080799</v>
      </c>
      <c r="B555" s="240" t="s">
        <v>443</v>
      </c>
      <c r="C555" s="243"/>
      <c r="D555" s="243">
        <v>84</v>
      </c>
      <c r="E555" s="243">
        <v>70</v>
      </c>
      <c r="F555" s="24">
        <f t="shared" si="88"/>
        <v>0</v>
      </c>
      <c r="G555" s="24">
        <f t="shared" si="89"/>
        <v>83.3333333333333</v>
      </c>
      <c r="H555" s="243"/>
    </row>
    <row r="556" s="34" customFormat="1" spans="1:8">
      <c r="A556" s="50">
        <v>20808</v>
      </c>
      <c r="B556" s="240" t="s">
        <v>444</v>
      </c>
      <c r="C556" s="241">
        <f t="shared" ref="C556:H556" si="95">SUM(C557:C564)</f>
        <v>911</v>
      </c>
      <c r="D556" s="241">
        <f t="shared" si="95"/>
        <v>693</v>
      </c>
      <c r="E556" s="241">
        <f t="shared" si="95"/>
        <v>831</v>
      </c>
      <c r="F556" s="24">
        <f t="shared" si="88"/>
        <v>91.218441273326</v>
      </c>
      <c r="G556" s="24">
        <f t="shared" si="89"/>
        <v>119.91341991342</v>
      </c>
      <c r="H556" s="241">
        <f t="shared" si="95"/>
        <v>0</v>
      </c>
    </row>
    <row r="557" s="34" customFormat="1" spans="1:8">
      <c r="A557" s="50">
        <v>2080801</v>
      </c>
      <c r="B557" s="240" t="s">
        <v>445</v>
      </c>
      <c r="C557" s="243"/>
      <c r="D557" s="243"/>
      <c r="E557" s="243"/>
      <c r="F557" s="24">
        <f t="shared" si="88"/>
        <v>0</v>
      </c>
      <c r="G557" s="24">
        <f t="shared" si="89"/>
        <v>0</v>
      </c>
      <c r="H557" s="243"/>
    </row>
    <row r="558" s="34" customFormat="1" spans="1:8">
      <c r="A558" s="50">
        <v>2080802</v>
      </c>
      <c r="B558" s="240" t="s">
        <v>446</v>
      </c>
      <c r="C558" s="243">
        <v>1</v>
      </c>
      <c r="D558" s="243">
        <v>1</v>
      </c>
      <c r="E558" s="243">
        <v>1</v>
      </c>
      <c r="F558" s="24">
        <f t="shared" si="88"/>
        <v>100</v>
      </c>
      <c r="G558" s="24">
        <f t="shared" si="89"/>
        <v>100</v>
      </c>
      <c r="H558" s="243"/>
    </row>
    <row r="559" s="34" customFormat="1" spans="1:8">
      <c r="A559" s="50">
        <v>2080803</v>
      </c>
      <c r="B559" s="240" t="s">
        <v>447</v>
      </c>
      <c r="C559" s="243">
        <v>619</v>
      </c>
      <c r="D559" s="243">
        <v>537</v>
      </c>
      <c r="E559" s="243">
        <f>442+268</f>
        <v>710</v>
      </c>
      <c r="F559" s="24">
        <f t="shared" si="88"/>
        <v>114.70113085622</v>
      </c>
      <c r="G559" s="24">
        <f t="shared" si="89"/>
        <v>132.216014897579</v>
      </c>
      <c r="H559" s="243"/>
    </row>
    <row r="560" s="34" customFormat="1" spans="1:8">
      <c r="A560" s="50">
        <v>2080805</v>
      </c>
      <c r="B560" s="240" t="s">
        <v>448</v>
      </c>
      <c r="C560" s="243">
        <v>169</v>
      </c>
      <c r="D560" s="243">
        <v>155</v>
      </c>
      <c r="E560" s="243">
        <f>96+11</f>
        <v>107</v>
      </c>
      <c r="F560" s="24">
        <f t="shared" si="88"/>
        <v>63.3136094674556</v>
      </c>
      <c r="G560" s="24">
        <f t="shared" si="89"/>
        <v>69.0322580645161</v>
      </c>
      <c r="H560" s="243"/>
    </row>
    <row r="561" s="34" customFormat="1" spans="1:8">
      <c r="A561" s="50">
        <v>2080806</v>
      </c>
      <c r="B561" s="240" t="s">
        <v>449</v>
      </c>
      <c r="C561" s="243"/>
      <c r="D561" s="243"/>
      <c r="E561" s="243"/>
      <c r="F561" s="24">
        <f t="shared" si="88"/>
        <v>0</v>
      </c>
      <c r="G561" s="24">
        <f t="shared" si="89"/>
        <v>0</v>
      </c>
      <c r="H561" s="243"/>
    </row>
    <row r="562" s="34" customFormat="1" spans="1:8">
      <c r="A562" s="50">
        <v>2080807</v>
      </c>
      <c r="B562" s="240" t="s">
        <v>450</v>
      </c>
      <c r="C562" s="243"/>
      <c r="D562" s="243"/>
      <c r="E562" s="243"/>
      <c r="F562" s="24">
        <f t="shared" si="88"/>
        <v>0</v>
      </c>
      <c r="G562" s="24">
        <f t="shared" si="89"/>
        <v>0</v>
      </c>
      <c r="H562" s="243"/>
    </row>
    <row r="563" s="34" customFormat="1" spans="1:8">
      <c r="A563" s="50">
        <v>2080808</v>
      </c>
      <c r="B563" s="240" t="s">
        <v>451</v>
      </c>
      <c r="C563" s="243"/>
      <c r="D563" s="243"/>
      <c r="E563" s="243">
        <v>4</v>
      </c>
      <c r="F563" s="24">
        <f t="shared" si="88"/>
        <v>0</v>
      </c>
      <c r="G563" s="24">
        <f t="shared" si="89"/>
        <v>0</v>
      </c>
      <c r="H563" s="243"/>
    </row>
    <row r="564" s="34" customFormat="1" spans="1:8">
      <c r="A564" s="50">
        <v>2080899</v>
      </c>
      <c r="B564" s="240" t="s">
        <v>452</v>
      </c>
      <c r="C564" s="243">
        <v>122</v>
      </c>
      <c r="D564" s="52"/>
      <c r="E564" s="52">
        <v>9</v>
      </c>
      <c r="F564" s="24">
        <f t="shared" si="88"/>
        <v>7.37704918032787</v>
      </c>
      <c r="G564" s="24">
        <f t="shared" si="89"/>
        <v>0</v>
      </c>
      <c r="H564" s="52"/>
    </row>
    <row r="565" s="34" customFormat="1" spans="1:8">
      <c r="A565" s="50">
        <v>20809</v>
      </c>
      <c r="B565" s="240" t="s">
        <v>453</v>
      </c>
      <c r="C565" s="241">
        <f t="shared" ref="C565:H565" si="96">SUM(C566:C571)</f>
        <v>98</v>
      </c>
      <c r="D565" s="241">
        <f t="shared" si="96"/>
        <v>66</v>
      </c>
      <c r="E565" s="241">
        <f t="shared" si="96"/>
        <v>98</v>
      </c>
      <c r="F565" s="24">
        <f t="shared" si="88"/>
        <v>100</v>
      </c>
      <c r="G565" s="24">
        <f t="shared" si="89"/>
        <v>148.484848484848</v>
      </c>
      <c r="H565" s="241">
        <f t="shared" si="96"/>
        <v>0</v>
      </c>
    </row>
    <row r="566" s="34" customFormat="1" spans="1:8">
      <c r="A566" s="50">
        <v>2080901</v>
      </c>
      <c r="B566" s="240" t="s">
        <v>454</v>
      </c>
      <c r="C566" s="243">
        <v>98</v>
      </c>
      <c r="D566" s="243">
        <v>61</v>
      </c>
      <c r="E566" s="243">
        <f>62+35-6</f>
        <v>91</v>
      </c>
      <c r="F566" s="24">
        <f t="shared" si="88"/>
        <v>92.8571428571429</v>
      </c>
      <c r="G566" s="24">
        <f t="shared" si="89"/>
        <v>149.180327868852</v>
      </c>
      <c r="H566" s="243"/>
    </row>
    <row r="567" s="34" customFormat="1" spans="1:8">
      <c r="A567" s="50">
        <v>2080902</v>
      </c>
      <c r="B567" s="240" t="s">
        <v>455</v>
      </c>
      <c r="C567" s="243"/>
      <c r="D567" s="243"/>
      <c r="E567" s="243"/>
      <c r="F567" s="24">
        <f t="shared" si="88"/>
        <v>0</v>
      </c>
      <c r="G567" s="24">
        <f t="shared" si="89"/>
        <v>0</v>
      </c>
      <c r="H567" s="243"/>
    </row>
    <row r="568" s="34" customFormat="1" spans="1:8">
      <c r="A568" s="50">
        <v>2080903</v>
      </c>
      <c r="B568" s="240" t="s">
        <v>456</v>
      </c>
      <c r="C568" s="243"/>
      <c r="D568" s="243"/>
      <c r="E568" s="243"/>
      <c r="F568" s="24">
        <f t="shared" si="88"/>
        <v>0</v>
      </c>
      <c r="G568" s="24">
        <f t="shared" si="89"/>
        <v>0</v>
      </c>
      <c r="H568" s="243"/>
    </row>
    <row r="569" s="34" customFormat="1" spans="1:8">
      <c r="A569" s="50">
        <v>2080904</v>
      </c>
      <c r="B569" s="240" t="s">
        <v>457</v>
      </c>
      <c r="C569" s="243"/>
      <c r="D569" s="243"/>
      <c r="E569" s="243"/>
      <c r="F569" s="24">
        <f t="shared" si="88"/>
        <v>0</v>
      </c>
      <c r="G569" s="24">
        <f t="shared" si="89"/>
        <v>0</v>
      </c>
      <c r="H569" s="243"/>
    </row>
    <row r="570" s="34" customFormat="1" spans="1:8">
      <c r="A570" s="50">
        <v>2080905</v>
      </c>
      <c r="B570" s="240" t="s">
        <v>458</v>
      </c>
      <c r="C570" s="243"/>
      <c r="D570" s="243">
        <v>5</v>
      </c>
      <c r="E570" s="243">
        <v>6</v>
      </c>
      <c r="F570" s="24">
        <f t="shared" si="88"/>
        <v>0</v>
      </c>
      <c r="G570" s="24">
        <f t="shared" si="89"/>
        <v>120</v>
      </c>
      <c r="H570" s="243"/>
    </row>
    <row r="571" s="34" customFormat="1" spans="1:8">
      <c r="A571" s="50">
        <v>2080999</v>
      </c>
      <c r="B571" s="240" t="s">
        <v>459</v>
      </c>
      <c r="C571" s="243"/>
      <c r="D571" s="243"/>
      <c r="E571" s="243">
        <v>1</v>
      </c>
      <c r="F571" s="24">
        <f t="shared" si="88"/>
        <v>0</v>
      </c>
      <c r="G571" s="24">
        <f t="shared" si="89"/>
        <v>0</v>
      </c>
      <c r="H571" s="243"/>
    </row>
    <row r="572" s="34" customFormat="1" spans="1:8">
      <c r="A572" s="50">
        <v>20810</v>
      </c>
      <c r="B572" s="240" t="s">
        <v>460</v>
      </c>
      <c r="C572" s="241">
        <f t="shared" ref="C572:H572" si="97">SUM(C573:C579)</f>
        <v>179</v>
      </c>
      <c r="D572" s="241">
        <f t="shared" si="97"/>
        <v>229</v>
      </c>
      <c r="E572" s="241">
        <f t="shared" si="97"/>
        <v>83</v>
      </c>
      <c r="F572" s="24">
        <f t="shared" si="88"/>
        <v>46.3687150837989</v>
      </c>
      <c r="G572" s="24">
        <f t="shared" si="89"/>
        <v>36.2445414847162</v>
      </c>
      <c r="H572" s="241">
        <f t="shared" si="97"/>
        <v>0</v>
      </c>
    </row>
    <row r="573" s="34" customFormat="1" spans="1:8">
      <c r="A573" s="50">
        <v>2081001</v>
      </c>
      <c r="B573" s="240" t="s">
        <v>461</v>
      </c>
      <c r="C573" s="243">
        <v>0</v>
      </c>
      <c r="D573" s="243">
        <v>49</v>
      </c>
      <c r="E573" s="243">
        <v>74</v>
      </c>
      <c r="F573" s="24">
        <f t="shared" si="88"/>
        <v>0</v>
      </c>
      <c r="G573" s="24">
        <f t="shared" si="89"/>
        <v>151.020408163265</v>
      </c>
      <c r="H573" s="243"/>
    </row>
    <row r="574" s="34" customFormat="1" spans="1:8">
      <c r="A574" s="50">
        <v>2081002</v>
      </c>
      <c r="B574" s="240" t="s">
        <v>462</v>
      </c>
      <c r="C574" s="243">
        <v>0</v>
      </c>
      <c r="D574" s="243">
        <v>0</v>
      </c>
      <c r="E574" s="243"/>
      <c r="F574" s="24">
        <f t="shared" si="88"/>
        <v>0</v>
      </c>
      <c r="G574" s="24">
        <f t="shared" si="89"/>
        <v>0</v>
      </c>
      <c r="H574" s="243"/>
    </row>
    <row r="575" s="34" customFormat="1" spans="1:8">
      <c r="A575" s="50">
        <v>2081003</v>
      </c>
      <c r="B575" s="240" t="s">
        <v>463</v>
      </c>
      <c r="C575" s="243">
        <v>0</v>
      </c>
      <c r="D575" s="243">
        <v>0</v>
      </c>
      <c r="E575" s="243"/>
      <c r="F575" s="24">
        <f t="shared" si="88"/>
        <v>0</v>
      </c>
      <c r="G575" s="24">
        <f t="shared" si="89"/>
        <v>0</v>
      </c>
      <c r="H575" s="243"/>
    </row>
    <row r="576" s="34" customFormat="1" spans="1:8">
      <c r="A576" s="50">
        <v>2081004</v>
      </c>
      <c r="B576" s="240" t="s">
        <v>464</v>
      </c>
      <c r="C576" s="243">
        <v>3</v>
      </c>
      <c r="D576" s="243">
        <v>6</v>
      </c>
      <c r="E576" s="243">
        <v>7</v>
      </c>
      <c r="F576" s="24">
        <f t="shared" si="88"/>
        <v>233.333333333333</v>
      </c>
      <c r="G576" s="24">
        <f t="shared" si="89"/>
        <v>116.666666666667</v>
      </c>
      <c r="H576" s="243"/>
    </row>
    <row r="577" s="34" customFormat="1" spans="1:8">
      <c r="A577" s="50">
        <v>2081005</v>
      </c>
      <c r="B577" s="240" t="s">
        <v>465</v>
      </c>
      <c r="C577" s="243">
        <v>26</v>
      </c>
      <c r="D577" s="243">
        <v>26</v>
      </c>
      <c r="E577" s="243">
        <v>2</v>
      </c>
      <c r="F577" s="24">
        <f t="shared" si="88"/>
        <v>7.69230769230769</v>
      </c>
      <c r="G577" s="24">
        <f t="shared" si="89"/>
        <v>7.69230769230769</v>
      </c>
      <c r="H577" s="243"/>
    </row>
    <row r="578" s="34" customFormat="1" spans="1:8">
      <c r="A578" s="50">
        <v>2081006</v>
      </c>
      <c r="B578" s="240" t="s">
        <v>466</v>
      </c>
      <c r="C578" s="243">
        <v>0</v>
      </c>
      <c r="D578" s="243">
        <v>0</v>
      </c>
      <c r="E578" s="243"/>
      <c r="F578" s="24">
        <f t="shared" si="88"/>
        <v>0</v>
      </c>
      <c r="G578" s="24">
        <f t="shared" si="89"/>
        <v>0</v>
      </c>
      <c r="H578" s="243"/>
    </row>
    <row r="579" s="34" customFormat="1" spans="1:8">
      <c r="A579" s="50">
        <v>2081099</v>
      </c>
      <c r="B579" s="240" t="s">
        <v>467</v>
      </c>
      <c r="C579" s="243">
        <v>150</v>
      </c>
      <c r="D579" s="243">
        <v>148</v>
      </c>
      <c r="E579" s="243"/>
      <c r="F579" s="24">
        <f t="shared" si="88"/>
        <v>0</v>
      </c>
      <c r="G579" s="24">
        <f t="shared" si="89"/>
        <v>0</v>
      </c>
      <c r="H579" s="243"/>
    </row>
    <row r="580" s="34" customFormat="1" spans="1:8">
      <c r="A580" s="50">
        <v>20811</v>
      </c>
      <c r="B580" s="240" t="s">
        <v>468</v>
      </c>
      <c r="C580" s="241">
        <f t="shared" ref="C580:H580" si="98">SUM(C581:C588)</f>
        <v>325</v>
      </c>
      <c r="D580" s="241">
        <f t="shared" si="98"/>
        <v>935</v>
      </c>
      <c r="E580" s="241">
        <f t="shared" si="98"/>
        <v>1018</v>
      </c>
      <c r="F580" s="24">
        <f t="shared" si="88"/>
        <v>313.230769230769</v>
      </c>
      <c r="G580" s="24">
        <f t="shared" si="89"/>
        <v>108.877005347594</v>
      </c>
      <c r="H580" s="241">
        <f t="shared" si="98"/>
        <v>0</v>
      </c>
    </row>
    <row r="581" s="34" customFormat="1" spans="1:8">
      <c r="A581" s="50">
        <v>2081101</v>
      </c>
      <c r="B581" s="240" t="s">
        <v>68</v>
      </c>
      <c r="C581" s="243">
        <v>109</v>
      </c>
      <c r="D581" s="243">
        <v>102</v>
      </c>
      <c r="E581" s="243">
        <v>109</v>
      </c>
      <c r="F581" s="24">
        <f t="shared" si="88"/>
        <v>100</v>
      </c>
      <c r="G581" s="24">
        <f t="shared" si="89"/>
        <v>106.862745098039</v>
      </c>
      <c r="H581" s="243"/>
    </row>
    <row r="582" s="34" customFormat="1" spans="1:8">
      <c r="A582" s="50">
        <v>2081102</v>
      </c>
      <c r="B582" s="240" t="s">
        <v>69</v>
      </c>
      <c r="C582" s="243">
        <v>80</v>
      </c>
      <c r="D582" s="243">
        <v>67</v>
      </c>
      <c r="E582" s="243">
        <v>95</v>
      </c>
      <c r="F582" s="24">
        <f t="shared" ref="F582:F645" si="99">IF(C582&gt;0,E582/C582*100,)</f>
        <v>118.75</v>
      </c>
      <c r="G582" s="24">
        <f t="shared" ref="G582:G645" si="100">IF(D582&gt;0,E582/D582*100,)</f>
        <v>141.791044776119</v>
      </c>
      <c r="H582" s="243"/>
    </row>
    <row r="583" s="34" customFormat="1" spans="1:8">
      <c r="A583" s="50">
        <v>2081103</v>
      </c>
      <c r="B583" s="240" t="s">
        <v>70</v>
      </c>
      <c r="C583" s="243">
        <v>0</v>
      </c>
      <c r="D583" s="243">
        <v>0</v>
      </c>
      <c r="E583" s="243"/>
      <c r="F583" s="24">
        <f t="shared" si="99"/>
        <v>0</v>
      </c>
      <c r="G583" s="24">
        <f t="shared" si="100"/>
        <v>0</v>
      </c>
      <c r="H583" s="243"/>
    </row>
    <row r="584" s="34" customFormat="1" spans="1:8">
      <c r="A584" s="50">
        <v>2081104</v>
      </c>
      <c r="B584" s="240" t="s">
        <v>469</v>
      </c>
      <c r="C584" s="243">
        <v>37</v>
      </c>
      <c r="D584" s="243">
        <v>53</v>
      </c>
      <c r="E584" s="243">
        <f>34+9</f>
        <v>43</v>
      </c>
      <c r="F584" s="24">
        <f t="shared" si="99"/>
        <v>116.216216216216</v>
      </c>
      <c r="G584" s="24">
        <f t="shared" si="100"/>
        <v>81.1320754716981</v>
      </c>
      <c r="H584" s="243"/>
    </row>
    <row r="585" s="34" customFormat="1" spans="1:8">
      <c r="A585" s="50">
        <v>2081105</v>
      </c>
      <c r="B585" s="240" t="s">
        <v>470</v>
      </c>
      <c r="C585" s="243">
        <v>51</v>
      </c>
      <c r="D585" s="243">
        <v>96</v>
      </c>
      <c r="E585" s="243">
        <v>63</v>
      </c>
      <c r="F585" s="24">
        <f t="shared" si="99"/>
        <v>123.529411764706</v>
      </c>
      <c r="G585" s="24">
        <f t="shared" si="100"/>
        <v>65.625</v>
      </c>
      <c r="H585" s="243"/>
    </row>
    <row r="586" s="34" customFormat="1" spans="1:8">
      <c r="A586" s="50">
        <v>2081106</v>
      </c>
      <c r="B586" s="240" t="s">
        <v>471</v>
      </c>
      <c r="C586" s="243">
        <v>0</v>
      </c>
      <c r="D586" s="243">
        <v>0</v>
      </c>
      <c r="E586" s="243"/>
      <c r="F586" s="24">
        <f t="shared" si="99"/>
        <v>0</v>
      </c>
      <c r="G586" s="24">
        <f t="shared" si="100"/>
        <v>0</v>
      </c>
      <c r="H586" s="243"/>
    </row>
    <row r="587" s="34" customFormat="1" spans="1:8">
      <c r="A587" s="50">
        <v>2081107</v>
      </c>
      <c r="B587" s="240" t="s">
        <v>472</v>
      </c>
      <c r="C587" s="243">
        <v>0</v>
      </c>
      <c r="D587" s="243">
        <v>595</v>
      </c>
      <c r="E587" s="243">
        <v>630</v>
      </c>
      <c r="F587" s="24">
        <f t="shared" si="99"/>
        <v>0</v>
      </c>
      <c r="G587" s="24">
        <f t="shared" si="100"/>
        <v>105.882352941176</v>
      </c>
      <c r="H587" s="243"/>
    </row>
    <row r="588" s="34" customFormat="1" spans="1:8">
      <c r="A588" s="50">
        <v>2081199</v>
      </c>
      <c r="B588" s="240" t="s">
        <v>473</v>
      </c>
      <c r="C588" s="243">
        <v>48</v>
      </c>
      <c r="D588" s="243">
        <v>22</v>
      </c>
      <c r="E588" s="243">
        <v>78</v>
      </c>
      <c r="F588" s="24">
        <f t="shared" si="99"/>
        <v>162.5</v>
      </c>
      <c r="G588" s="24">
        <f t="shared" si="100"/>
        <v>354.545454545455</v>
      </c>
      <c r="H588" s="243"/>
    </row>
    <row r="589" s="34" customFormat="1" spans="1:8">
      <c r="A589" s="50">
        <v>20816</v>
      </c>
      <c r="B589" s="240" t="s">
        <v>474</v>
      </c>
      <c r="C589" s="241">
        <f t="shared" ref="C589:H589" si="101">SUM(C590:C593)</f>
        <v>0</v>
      </c>
      <c r="D589" s="241">
        <f t="shared" si="101"/>
        <v>0</v>
      </c>
      <c r="E589" s="241">
        <f t="shared" si="101"/>
        <v>0</v>
      </c>
      <c r="F589" s="24">
        <f t="shared" si="99"/>
        <v>0</v>
      </c>
      <c r="G589" s="24">
        <f t="shared" si="100"/>
        <v>0</v>
      </c>
      <c r="H589" s="241">
        <f t="shared" si="101"/>
        <v>0</v>
      </c>
    </row>
    <row r="590" s="34" customFormat="1" spans="1:8">
      <c r="A590" s="50">
        <v>2081601</v>
      </c>
      <c r="B590" s="240" t="s">
        <v>68</v>
      </c>
      <c r="C590" s="243"/>
      <c r="D590" s="243"/>
      <c r="E590" s="243"/>
      <c r="F590" s="24">
        <f t="shared" si="99"/>
        <v>0</v>
      </c>
      <c r="G590" s="24">
        <f t="shared" si="100"/>
        <v>0</v>
      </c>
      <c r="H590" s="243"/>
    </row>
    <row r="591" s="34" customFormat="1" spans="1:8">
      <c r="A591" s="50">
        <v>2081602</v>
      </c>
      <c r="B591" s="240" t="s">
        <v>69</v>
      </c>
      <c r="C591" s="243"/>
      <c r="D591" s="243"/>
      <c r="E591" s="243"/>
      <c r="F591" s="24">
        <f t="shared" si="99"/>
        <v>0</v>
      </c>
      <c r="G591" s="24">
        <f t="shared" si="100"/>
        <v>0</v>
      </c>
      <c r="H591" s="243"/>
    </row>
    <row r="592" s="34" customFormat="1" spans="1:8">
      <c r="A592" s="50">
        <v>2081603</v>
      </c>
      <c r="B592" s="240" t="s">
        <v>70</v>
      </c>
      <c r="C592" s="243"/>
      <c r="D592" s="243"/>
      <c r="E592" s="243"/>
      <c r="F592" s="24">
        <f t="shared" si="99"/>
        <v>0</v>
      </c>
      <c r="G592" s="24">
        <f t="shared" si="100"/>
        <v>0</v>
      </c>
      <c r="H592" s="243"/>
    </row>
    <row r="593" s="34" customFormat="1" spans="1:8">
      <c r="A593" s="50">
        <v>2081699</v>
      </c>
      <c r="B593" s="240" t="s">
        <v>475</v>
      </c>
      <c r="C593" s="243"/>
      <c r="D593" s="243"/>
      <c r="E593" s="243"/>
      <c r="F593" s="24">
        <f t="shared" si="99"/>
        <v>0</v>
      </c>
      <c r="G593" s="24">
        <f t="shared" si="100"/>
        <v>0</v>
      </c>
      <c r="H593" s="243"/>
    </row>
    <row r="594" s="34" customFormat="1" spans="1:8">
      <c r="A594" s="50">
        <v>20819</v>
      </c>
      <c r="B594" s="240" t="s">
        <v>476</v>
      </c>
      <c r="C594" s="241">
        <f t="shared" ref="C594:H594" si="102">SUM(C595:C596)</f>
        <v>2985</v>
      </c>
      <c r="D594" s="241">
        <f t="shared" si="102"/>
        <v>3123</v>
      </c>
      <c r="E594" s="241">
        <f t="shared" si="102"/>
        <v>3328</v>
      </c>
      <c r="F594" s="24">
        <f t="shared" si="99"/>
        <v>111.490787269682</v>
      </c>
      <c r="G594" s="24">
        <f t="shared" si="100"/>
        <v>106.564201088697</v>
      </c>
      <c r="H594" s="241">
        <f t="shared" si="102"/>
        <v>0</v>
      </c>
    </row>
    <row r="595" s="34" customFormat="1" spans="1:8">
      <c r="A595" s="50">
        <v>2081901</v>
      </c>
      <c r="B595" s="240" t="s">
        <v>477</v>
      </c>
      <c r="C595" s="243"/>
      <c r="D595" s="243"/>
      <c r="E595" s="243"/>
      <c r="F595" s="24">
        <f t="shared" si="99"/>
        <v>0</v>
      </c>
      <c r="G595" s="24">
        <f t="shared" si="100"/>
        <v>0</v>
      </c>
      <c r="H595" s="243"/>
    </row>
    <row r="596" s="34" customFormat="1" spans="1:8">
      <c r="A596" s="50">
        <v>2081902</v>
      </c>
      <c r="B596" s="240" t="s">
        <v>478</v>
      </c>
      <c r="C596" s="243">
        <v>2985</v>
      </c>
      <c r="D596" s="243">
        <v>3123</v>
      </c>
      <c r="E596" s="243">
        <f>3528-200</f>
        <v>3328</v>
      </c>
      <c r="F596" s="24">
        <f t="shared" si="99"/>
        <v>111.490787269682</v>
      </c>
      <c r="G596" s="24">
        <f t="shared" si="100"/>
        <v>106.564201088697</v>
      </c>
      <c r="H596" s="243"/>
    </row>
    <row r="597" s="34" customFormat="1" spans="1:8">
      <c r="A597" s="50">
        <v>20820</v>
      </c>
      <c r="B597" s="240" t="s">
        <v>479</v>
      </c>
      <c r="C597" s="241">
        <f t="shared" ref="C597:H597" si="103">SUM(C598:C599)</f>
        <v>0</v>
      </c>
      <c r="D597" s="241">
        <f t="shared" si="103"/>
        <v>198</v>
      </c>
      <c r="E597" s="241">
        <f t="shared" si="103"/>
        <v>176</v>
      </c>
      <c r="F597" s="24">
        <f t="shared" si="99"/>
        <v>0</v>
      </c>
      <c r="G597" s="24">
        <f t="shared" si="100"/>
        <v>88.8888888888889</v>
      </c>
      <c r="H597" s="241">
        <f t="shared" si="103"/>
        <v>0</v>
      </c>
    </row>
    <row r="598" s="34" customFormat="1" spans="1:8">
      <c r="A598" s="50">
        <v>2082001</v>
      </c>
      <c r="B598" s="240" t="s">
        <v>480</v>
      </c>
      <c r="C598" s="243"/>
      <c r="D598" s="243">
        <v>149</v>
      </c>
      <c r="E598" s="243">
        <v>120</v>
      </c>
      <c r="F598" s="24">
        <f t="shared" si="99"/>
        <v>0</v>
      </c>
      <c r="G598" s="24">
        <f t="shared" si="100"/>
        <v>80.5369127516778</v>
      </c>
      <c r="H598" s="243"/>
    </row>
    <row r="599" s="34" customFormat="1" spans="1:8">
      <c r="A599" s="50">
        <v>2082002</v>
      </c>
      <c r="B599" s="240" t="s">
        <v>481</v>
      </c>
      <c r="C599" s="243"/>
      <c r="D599" s="243">
        <v>49</v>
      </c>
      <c r="E599" s="243">
        <v>56</v>
      </c>
      <c r="F599" s="24">
        <f t="shared" si="99"/>
        <v>0</v>
      </c>
      <c r="G599" s="24">
        <f t="shared" si="100"/>
        <v>114.285714285714</v>
      </c>
      <c r="H599" s="243"/>
    </row>
    <row r="600" s="34" customFormat="1" spans="1:8">
      <c r="A600" s="50">
        <v>20821</v>
      </c>
      <c r="B600" s="240" t="s">
        <v>482</v>
      </c>
      <c r="C600" s="241">
        <f t="shared" ref="C600:H600" si="104">SUM(C601:C602)</f>
        <v>29</v>
      </c>
      <c r="D600" s="241">
        <f t="shared" si="104"/>
        <v>526</v>
      </c>
      <c r="E600" s="241">
        <f t="shared" si="104"/>
        <v>546</v>
      </c>
      <c r="F600" s="24">
        <f t="shared" si="99"/>
        <v>1882.75862068966</v>
      </c>
      <c r="G600" s="24">
        <f t="shared" si="100"/>
        <v>103.802281368821</v>
      </c>
      <c r="H600" s="241">
        <f t="shared" si="104"/>
        <v>0</v>
      </c>
    </row>
    <row r="601" s="34" customFormat="1" spans="1:8">
      <c r="A601" s="50">
        <v>2082101</v>
      </c>
      <c r="B601" s="240" t="s">
        <v>483</v>
      </c>
      <c r="C601" s="243"/>
      <c r="D601" s="243"/>
      <c r="E601" s="243"/>
      <c r="F601" s="24">
        <f t="shared" si="99"/>
        <v>0</v>
      </c>
      <c r="G601" s="24">
        <f t="shared" si="100"/>
        <v>0</v>
      </c>
      <c r="H601" s="243"/>
    </row>
    <row r="602" s="34" customFormat="1" spans="1:8">
      <c r="A602" s="50">
        <v>2082102</v>
      </c>
      <c r="B602" s="240" t="s">
        <v>484</v>
      </c>
      <c r="C602" s="243">
        <v>29</v>
      </c>
      <c r="D602" s="243">
        <v>526</v>
      </c>
      <c r="E602" s="243">
        <f>734+12-200</f>
        <v>546</v>
      </c>
      <c r="F602" s="24">
        <f t="shared" si="99"/>
        <v>1882.75862068966</v>
      </c>
      <c r="G602" s="24">
        <f t="shared" si="100"/>
        <v>103.802281368821</v>
      </c>
      <c r="H602" s="243"/>
    </row>
    <row r="603" s="34" customFormat="1" spans="1:8">
      <c r="A603" s="50">
        <v>20824</v>
      </c>
      <c r="B603" s="240" t="s">
        <v>485</v>
      </c>
      <c r="C603" s="241">
        <f t="shared" ref="C603:H603" si="105">SUM(C604:C605)</f>
        <v>0</v>
      </c>
      <c r="D603" s="241">
        <f t="shared" si="105"/>
        <v>0</v>
      </c>
      <c r="E603" s="241">
        <f t="shared" si="105"/>
        <v>0</v>
      </c>
      <c r="F603" s="24">
        <f t="shared" si="99"/>
        <v>0</v>
      </c>
      <c r="G603" s="24">
        <f t="shared" si="100"/>
        <v>0</v>
      </c>
      <c r="H603" s="241">
        <f t="shared" si="105"/>
        <v>0</v>
      </c>
    </row>
    <row r="604" s="34" customFormat="1" spans="1:8">
      <c r="A604" s="50">
        <v>2082401</v>
      </c>
      <c r="B604" s="240" t="s">
        <v>486</v>
      </c>
      <c r="C604" s="243"/>
      <c r="D604" s="243"/>
      <c r="E604" s="243"/>
      <c r="F604" s="24">
        <f t="shared" si="99"/>
        <v>0</v>
      </c>
      <c r="G604" s="24">
        <f t="shared" si="100"/>
        <v>0</v>
      </c>
      <c r="H604" s="243"/>
    </row>
    <row r="605" s="34" customFormat="1" spans="1:8">
      <c r="A605" s="50">
        <v>2082402</v>
      </c>
      <c r="B605" s="240" t="s">
        <v>487</v>
      </c>
      <c r="C605" s="243"/>
      <c r="D605" s="243"/>
      <c r="E605" s="243"/>
      <c r="F605" s="24">
        <f t="shared" si="99"/>
        <v>0</v>
      </c>
      <c r="G605" s="24">
        <f t="shared" si="100"/>
        <v>0</v>
      </c>
      <c r="H605" s="243"/>
    </row>
    <row r="606" s="34" customFormat="1" spans="1:8">
      <c r="A606" s="50">
        <v>20825</v>
      </c>
      <c r="B606" s="240" t="s">
        <v>488</v>
      </c>
      <c r="C606" s="241">
        <f t="shared" ref="C606:H606" si="106">SUM(C607:C608)</f>
        <v>0</v>
      </c>
      <c r="D606" s="241">
        <f t="shared" si="106"/>
        <v>0</v>
      </c>
      <c r="E606" s="241">
        <f t="shared" si="106"/>
        <v>2</v>
      </c>
      <c r="F606" s="24">
        <f t="shared" si="99"/>
        <v>0</v>
      </c>
      <c r="G606" s="24">
        <f t="shared" si="100"/>
        <v>0</v>
      </c>
      <c r="H606" s="241">
        <f t="shared" si="106"/>
        <v>0</v>
      </c>
    </row>
    <row r="607" s="34" customFormat="1" spans="1:8">
      <c r="A607" s="50">
        <v>2082501</v>
      </c>
      <c r="B607" s="240" t="s">
        <v>489</v>
      </c>
      <c r="C607" s="243"/>
      <c r="D607" s="243"/>
      <c r="E607" s="243"/>
      <c r="F607" s="24">
        <f t="shared" si="99"/>
        <v>0</v>
      </c>
      <c r="G607" s="24">
        <f t="shared" si="100"/>
        <v>0</v>
      </c>
      <c r="H607" s="243"/>
    </row>
    <row r="608" s="34" customFormat="1" spans="1:8">
      <c r="A608" s="50">
        <v>2082502</v>
      </c>
      <c r="B608" s="240" t="s">
        <v>490</v>
      </c>
      <c r="C608" s="243"/>
      <c r="D608" s="243"/>
      <c r="E608" s="243">
        <f>1+1</f>
        <v>2</v>
      </c>
      <c r="F608" s="24">
        <f t="shared" si="99"/>
        <v>0</v>
      </c>
      <c r="G608" s="24">
        <f t="shared" si="100"/>
        <v>0</v>
      </c>
      <c r="H608" s="243"/>
    </row>
    <row r="609" s="34" customFormat="1" spans="1:8">
      <c r="A609" s="50">
        <v>20826</v>
      </c>
      <c r="B609" s="240" t="s">
        <v>491</v>
      </c>
      <c r="C609" s="241">
        <f t="shared" ref="C609:H609" si="107">SUM(C610:C612)</f>
        <v>4443</v>
      </c>
      <c r="D609" s="241">
        <f t="shared" si="107"/>
        <v>4599</v>
      </c>
      <c r="E609" s="241">
        <f t="shared" si="107"/>
        <v>4676</v>
      </c>
      <c r="F609" s="24">
        <f t="shared" si="99"/>
        <v>105.244204366419</v>
      </c>
      <c r="G609" s="24">
        <f t="shared" si="100"/>
        <v>101.674277016743</v>
      </c>
      <c r="H609" s="241">
        <f t="shared" si="107"/>
        <v>0</v>
      </c>
    </row>
    <row r="610" s="34" customFormat="1" spans="1:8">
      <c r="A610" s="50">
        <v>2082601</v>
      </c>
      <c r="B610" s="240" t="s">
        <v>492</v>
      </c>
      <c r="C610" s="243"/>
      <c r="D610" s="243"/>
      <c r="E610" s="243"/>
      <c r="F610" s="24">
        <f t="shared" si="99"/>
        <v>0</v>
      </c>
      <c r="G610" s="24">
        <f t="shared" si="100"/>
        <v>0</v>
      </c>
      <c r="H610" s="243"/>
    </row>
    <row r="611" s="34" customFormat="1" spans="1:8">
      <c r="A611" s="50">
        <v>2082602</v>
      </c>
      <c r="B611" s="240" t="s">
        <v>493</v>
      </c>
      <c r="C611" s="243">
        <v>4137</v>
      </c>
      <c r="D611" s="243">
        <v>4378</v>
      </c>
      <c r="E611" s="243">
        <f>4554-100</f>
        <v>4454</v>
      </c>
      <c r="F611" s="24">
        <f t="shared" si="99"/>
        <v>107.66255740875</v>
      </c>
      <c r="G611" s="24">
        <f t="shared" si="100"/>
        <v>101.735952489721</v>
      </c>
      <c r="H611" s="243"/>
    </row>
    <row r="612" s="34" customFormat="1" spans="1:8">
      <c r="A612" s="50">
        <v>2082699</v>
      </c>
      <c r="B612" s="240" t="s">
        <v>494</v>
      </c>
      <c r="C612" s="243">
        <v>306</v>
      </c>
      <c r="D612" s="243">
        <v>221</v>
      </c>
      <c r="E612" s="243">
        <v>222</v>
      </c>
      <c r="F612" s="24">
        <f t="shared" si="99"/>
        <v>72.5490196078431</v>
      </c>
      <c r="G612" s="24">
        <f t="shared" si="100"/>
        <v>100.452488687783</v>
      </c>
      <c r="H612" s="243"/>
    </row>
    <row r="613" s="34" customFormat="1" spans="1:8">
      <c r="A613" s="50">
        <v>20827</v>
      </c>
      <c r="B613" s="240" t="s">
        <v>495</v>
      </c>
      <c r="C613" s="241">
        <f t="shared" ref="C613:H613" si="108">SUM(C614:C616)</f>
        <v>0</v>
      </c>
      <c r="D613" s="241">
        <f t="shared" si="108"/>
        <v>0</v>
      </c>
      <c r="E613" s="241">
        <f t="shared" si="108"/>
        <v>0</v>
      </c>
      <c r="F613" s="24">
        <f t="shared" si="99"/>
        <v>0</v>
      </c>
      <c r="G613" s="24">
        <f t="shared" si="100"/>
        <v>0</v>
      </c>
      <c r="H613" s="241">
        <f t="shared" si="108"/>
        <v>0</v>
      </c>
    </row>
    <row r="614" s="34" customFormat="1" spans="1:8">
      <c r="A614" s="50">
        <v>2082701</v>
      </c>
      <c r="B614" s="240" t="s">
        <v>496</v>
      </c>
      <c r="C614" s="243"/>
      <c r="D614" s="243"/>
      <c r="E614" s="243"/>
      <c r="F614" s="24">
        <f t="shared" si="99"/>
        <v>0</v>
      </c>
      <c r="G614" s="24">
        <f t="shared" si="100"/>
        <v>0</v>
      </c>
      <c r="H614" s="243"/>
    </row>
    <row r="615" s="34" customFormat="1" spans="1:8">
      <c r="A615" s="50">
        <v>2082702</v>
      </c>
      <c r="B615" s="240" t="s">
        <v>497</v>
      </c>
      <c r="C615" s="243"/>
      <c r="D615" s="243"/>
      <c r="E615" s="243"/>
      <c r="F615" s="24">
        <f t="shared" si="99"/>
        <v>0</v>
      </c>
      <c r="G615" s="24">
        <f t="shared" si="100"/>
        <v>0</v>
      </c>
      <c r="H615" s="243"/>
    </row>
    <row r="616" s="34" customFormat="1" spans="1:8">
      <c r="A616" s="50">
        <v>2082799</v>
      </c>
      <c r="B616" s="240" t="s">
        <v>498</v>
      </c>
      <c r="C616" s="243"/>
      <c r="D616" s="243"/>
      <c r="E616" s="243"/>
      <c r="F616" s="24">
        <f t="shared" si="99"/>
        <v>0</v>
      </c>
      <c r="G616" s="24">
        <f t="shared" si="100"/>
        <v>0</v>
      </c>
      <c r="H616" s="243"/>
    </row>
    <row r="617" s="34" customFormat="1" spans="1:8">
      <c r="A617" s="50">
        <v>20828</v>
      </c>
      <c r="B617" s="250" t="s">
        <v>499</v>
      </c>
      <c r="C617" s="241">
        <f t="shared" ref="C617:H617" si="109">SUM(C618:C624)</f>
        <v>189</v>
      </c>
      <c r="D617" s="241">
        <f t="shared" si="109"/>
        <v>183</v>
      </c>
      <c r="E617" s="241">
        <f t="shared" si="109"/>
        <v>230</v>
      </c>
      <c r="F617" s="24">
        <f t="shared" si="99"/>
        <v>121.693121693122</v>
      </c>
      <c r="G617" s="24">
        <f t="shared" si="100"/>
        <v>125.68306010929</v>
      </c>
      <c r="H617" s="241">
        <f t="shared" si="109"/>
        <v>0</v>
      </c>
    </row>
    <row r="618" s="34" customFormat="1" spans="1:8">
      <c r="A618" s="50">
        <v>2082801</v>
      </c>
      <c r="B618" s="240" t="s">
        <v>68</v>
      </c>
      <c r="C618" s="243">
        <v>74</v>
      </c>
      <c r="D618" s="243">
        <v>80</v>
      </c>
      <c r="E618" s="243">
        <v>91</v>
      </c>
      <c r="F618" s="24">
        <f t="shared" si="99"/>
        <v>122.972972972973</v>
      </c>
      <c r="G618" s="24">
        <f t="shared" si="100"/>
        <v>113.75</v>
      </c>
      <c r="H618" s="243"/>
    </row>
    <row r="619" s="34" customFormat="1" spans="1:8">
      <c r="A619" s="50">
        <v>2082802</v>
      </c>
      <c r="B619" s="240" t="s">
        <v>69</v>
      </c>
      <c r="C619" s="243">
        <v>16</v>
      </c>
      <c r="D619" s="243">
        <v>15</v>
      </c>
      <c r="E619" s="243">
        <v>45</v>
      </c>
      <c r="F619" s="24">
        <f t="shared" si="99"/>
        <v>281.25</v>
      </c>
      <c r="G619" s="24">
        <f t="shared" si="100"/>
        <v>300</v>
      </c>
      <c r="H619" s="243"/>
    </row>
    <row r="620" s="34" customFormat="1" spans="1:8">
      <c r="A620" s="50">
        <v>2082803</v>
      </c>
      <c r="B620" s="240" t="s">
        <v>70</v>
      </c>
      <c r="C620" s="243">
        <v>0</v>
      </c>
      <c r="D620" s="243">
        <v>0</v>
      </c>
      <c r="E620" s="243"/>
      <c r="F620" s="24">
        <f t="shared" si="99"/>
        <v>0</v>
      </c>
      <c r="G620" s="24">
        <f t="shared" si="100"/>
        <v>0</v>
      </c>
      <c r="H620" s="243"/>
    </row>
    <row r="621" s="34" customFormat="1" spans="1:8">
      <c r="A621" s="50">
        <v>2082804</v>
      </c>
      <c r="B621" s="240" t="s">
        <v>500</v>
      </c>
      <c r="C621" s="243">
        <v>80</v>
      </c>
      <c r="D621" s="243">
        <v>76</v>
      </c>
      <c r="E621" s="243">
        <f>75+2</f>
        <v>77</v>
      </c>
      <c r="F621" s="24">
        <f t="shared" si="99"/>
        <v>96.25</v>
      </c>
      <c r="G621" s="24">
        <f t="shared" si="100"/>
        <v>101.315789473684</v>
      </c>
      <c r="H621" s="243"/>
    </row>
    <row r="622" s="34" customFormat="1" spans="1:8">
      <c r="A622" s="50">
        <v>2082805</v>
      </c>
      <c r="B622" s="240" t="s">
        <v>501</v>
      </c>
      <c r="C622" s="243">
        <v>0</v>
      </c>
      <c r="D622" s="243">
        <v>0</v>
      </c>
      <c r="E622" s="243"/>
      <c r="F622" s="24">
        <f t="shared" si="99"/>
        <v>0</v>
      </c>
      <c r="G622" s="24">
        <f t="shared" si="100"/>
        <v>0</v>
      </c>
      <c r="H622" s="243"/>
    </row>
    <row r="623" s="34" customFormat="1" spans="1:8">
      <c r="A623" s="50">
        <v>2082850</v>
      </c>
      <c r="B623" s="240" t="s">
        <v>77</v>
      </c>
      <c r="C623" s="243">
        <v>0</v>
      </c>
      <c r="D623" s="243">
        <v>0</v>
      </c>
      <c r="E623" s="243"/>
      <c r="F623" s="24">
        <f t="shared" si="99"/>
        <v>0</v>
      </c>
      <c r="G623" s="24">
        <f t="shared" si="100"/>
        <v>0</v>
      </c>
      <c r="H623" s="243"/>
    </row>
    <row r="624" s="34" customFormat="1" spans="1:8">
      <c r="A624" s="50">
        <v>2082899</v>
      </c>
      <c r="B624" s="240" t="s">
        <v>502</v>
      </c>
      <c r="C624" s="243">
        <v>19</v>
      </c>
      <c r="D624" s="243">
        <v>12</v>
      </c>
      <c r="E624" s="243">
        <v>17</v>
      </c>
      <c r="F624" s="24">
        <f t="shared" si="99"/>
        <v>89.4736842105263</v>
      </c>
      <c r="G624" s="24">
        <f t="shared" si="100"/>
        <v>141.666666666667</v>
      </c>
      <c r="H624" s="243"/>
    </row>
    <row r="625" s="34" customFormat="1" spans="1:8">
      <c r="A625" s="50">
        <v>20830</v>
      </c>
      <c r="B625" s="240" t="s">
        <v>503</v>
      </c>
      <c r="C625" s="241">
        <f t="shared" ref="C625:H625" si="110">SUM(C626:C627)</f>
        <v>210</v>
      </c>
      <c r="D625" s="241">
        <f t="shared" si="110"/>
        <v>74</v>
      </c>
      <c r="E625" s="241">
        <f t="shared" si="110"/>
        <v>181</v>
      </c>
      <c r="F625" s="24">
        <f t="shared" si="99"/>
        <v>86.1904761904762</v>
      </c>
      <c r="G625" s="24">
        <f t="shared" si="100"/>
        <v>244.594594594595</v>
      </c>
      <c r="H625" s="241">
        <f t="shared" si="110"/>
        <v>0</v>
      </c>
    </row>
    <row r="626" s="34" customFormat="1" spans="1:8">
      <c r="A626" s="50">
        <v>2083001</v>
      </c>
      <c r="B626" s="240" t="s">
        <v>504</v>
      </c>
      <c r="C626" s="243">
        <v>205</v>
      </c>
      <c r="D626" s="243">
        <v>37</v>
      </c>
      <c r="E626" s="243">
        <v>175</v>
      </c>
      <c r="F626" s="24">
        <f t="shared" si="99"/>
        <v>85.3658536585366</v>
      </c>
      <c r="G626" s="24">
        <f t="shared" si="100"/>
        <v>472.972972972973</v>
      </c>
      <c r="H626" s="243"/>
    </row>
    <row r="627" s="34" customFormat="1" spans="1:8">
      <c r="A627" s="50">
        <v>2083099</v>
      </c>
      <c r="B627" s="240" t="s">
        <v>505</v>
      </c>
      <c r="C627" s="243">
        <v>5</v>
      </c>
      <c r="D627" s="243">
        <v>37</v>
      </c>
      <c r="E627" s="243">
        <v>6</v>
      </c>
      <c r="F627" s="24">
        <f t="shared" si="99"/>
        <v>120</v>
      </c>
      <c r="G627" s="24">
        <f t="shared" si="100"/>
        <v>16.2162162162162</v>
      </c>
      <c r="H627" s="243"/>
    </row>
    <row r="628" s="34" customFormat="1" spans="1:8">
      <c r="A628" s="50">
        <v>2089999</v>
      </c>
      <c r="B628" s="240" t="s">
        <v>506</v>
      </c>
      <c r="C628" s="243"/>
      <c r="D628" s="243">
        <v>411</v>
      </c>
      <c r="E628" s="243">
        <v>150</v>
      </c>
      <c r="F628" s="24">
        <f t="shared" si="99"/>
        <v>0</v>
      </c>
      <c r="G628" s="24">
        <f t="shared" si="100"/>
        <v>36.4963503649635</v>
      </c>
      <c r="H628" s="243"/>
    </row>
    <row r="629" s="34" customFormat="1" spans="1:8">
      <c r="A629" s="50">
        <v>210</v>
      </c>
      <c r="B629" s="240" t="s">
        <v>507</v>
      </c>
      <c r="C629" s="241">
        <f t="shared" ref="C629:H629" si="111">SUM(C630,C635,C650,C654,C666,C669,C673,C678,C682,C686,C689,C698,C699)</f>
        <v>18113</v>
      </c>
      <c r="D629" s="241">
        <f t="shared" si="111"/>
        <v>19216</v>
      </c>
      <c r="E629" s="241">
        <f t="shared" si="111"/>
        <v>14482</v>
      </c>
      <c r="F629" s="24">
        <f t="shared" si="99"/>
        <v>79.9536244686137</v>
      </c>
      <c r="G629" s="24">
        <f t="shared" si="100"/>
        <v>75.364279766861</v>
      </c>
      <c r="H629" s="241">
        <f t="shared" si="111"/>
        <v>0</v>
      </c>
    </row>
    <row r="630" s="34" customFormat="1" spans="1:8">
      <c r="A630" s="50">
        <v>21001</v>
      </c>
      <c r="B630" s="240" t="s">
        <v>508</v>
      </c>
      <c r="C630" s="241">
        <f t="shared" ref="C630:H630" si="112">SUM(C631:C634)</f>
        <v>424</v>
      </c>
      <c r="D630" s="241">
        <f t="shared" si="112"/>
        <v>411</v>
      </c>
      <c r="E630" s="241">
        <f t="shared" si="112"/>
        <v>668</v>
      </c>
      <c r="F630" s="24">
        <f t="shared" si="99"/>
        <v>157.547169811321</v>
      </c>
      <c r="G630" s="24">
        <f t="shared" si="100"/>
        <v>162.530413625304</v>
      </c>
      <c r="H630" s="241">
        <f t="shared" si="112"/>
        <v>0</v>
      </c>
    </row>
    <row r="631" s="34" customFormat="1" spans="1:8">
      <c r="A631" s="50">
        <v>2100101</v>
      </c>
      <c r="B631" s="240" t="s">
        <v>68</v>
      </c>
      <c r="C631" s="243">
        <v>318</v>
      </c>
      <c r="D631" s="243">
        <v>311</v>
      </c>
      <c r="E631" s="243">
        <f>352+166</f>
        <v>518</v>
      </c>
      <c r="F631" s="24">
        <f t="shared" si="99"/>
        <v>162.893081761006</v>
      </c>
      <c r="G631" s="24">
        <f t="shared" si="100"/>
        <v>166.559485530547</v>
      </c>
      <c r="H631" s="243"/>
    </row>
    <row r="632" s="34" customFormat="1" spans="1:8">
      <c r="A632" s="50">
        <v>2100102</v>
      </c>
      <c r="B632" s="240" t="s">
        <v>69</v>
      </c>
      <c r="C632" s="243">
        <v>51</v>
      </c>
      <c r="D632" s="243">
        <v>51</v>
      </c>
      <c r="E632" s="243">
        <v>117</v>
      </c>
      <c r="F632" s="24">
        <f t="shared" si="99"/>
        <v>229.411764705882</v>
      </c>
      <c r="G632" s="24">
        <f t="shared" si="100"/>
        <v>229.411764705882</v>
      </c>
      <c r="H632" s="243"/>
    </row>
    <row r="633" s="34" customFormat="1" spans="1:8">
      <c r="A633" s="50">
        <v>2100103</v>
      </c>
      <c r="B633" s="240" t="s">
        <v>70</v>
      </c>
      <c r="C633" s="243">
        <v>0</v>
      </c>
      <c r="D633" s="243">
        <v>0</v>
      </c>
      <c r="E633" s="243"/>
      <c r="F633" s="24">
        <f t="shared" si="99"/>
        <v>0</v>
      </c>
      <c r="G633" s="24">
        <f t="shared" si="100"/>
        <v>0</v>
      </c>
      <c r="H633" s="243"/>
    </row>
    <row r="634" s="34" customFormat="1" spans="1:8">
      <c r="A634" s="50">
        <v>2100199</v>
      </c>
      <c r="B634" s="240" t="s">
        <v>509</v>
      </c>
      <c r="C634" s="243">
        <v>55</v>
      </c>
      <c r="D634" s="243">
        <v>49</v>
      </c>
      <c r="E634" s="243">
        <v>33</v>
      </c>
      <c r="F634" s="24">
        <f t="shared" si="99"/>
        <v>60</v>
      </c>
      <c r="G634" s="24">
        <f t="shared" si="100"/>
        <v>67.3469387755102</v>
      </c>
      <c r="H634" s="243"/>
    </row>
    <row r="635" s="34" customFormat="1" spans="1:8">
      <c r="A635" s="50">
        <v>21002</v>
      </c>
      <c r="B635" s="240" t="s">
        <v>510</v>
      </c>
      <c r="C635" s="241">
        <f t="shared" ref="C635:H635" si="113">SUM(C636:C649)</f>
        <v>2659</v>
      </c>
      <c r="D635" s="241">
        <f t="shared" si="113"/>
        <v>1431</v>
      </c>
      <c r="E635" s="241">
        <f t="shared" si="113"/>
        <v>2855</v>
      </c>
      <c r="F635" s="24">
        <f t="shared" si="99"/>
        <v>107.37119217751</v>
      </c>
      <c r="G635" s="24">
        <f t="shared" si="100"/>
        <v>199.510831586303</v>
      </c>
      <c r="H635" s="241">
        <f t="shared" si="113"/>
        <v>0</v>
      </c>
    </row>
    <row r="636" s="34" customFormat="1" spans="1:8">
      <c r="A636" s="50">
        <v>2100201</v>
      </c>
      <c r="B636" s="240" t="s">
        <v>511</v>
      </c>
      <c r="C636" s="243">
        <v>2408</v>
      </c>
      <c r="D636" s="243">
        <v>1065</v>
      </c>
      <c r="E636" s="243">
        <f>657+1038+300</f>
        <v>1995</v>
      </c>
      <c r="F636" s="24">
        <f t="shared" si="99"/>
        <v>82.8488372093023</v>
      </c>
      <c r="G636" s="24">
        <f t="shared" si="100"/>
        <v>187.323943661972</v>
      </c>
      <c r="H636" s="243"/>
    </row>
    <row r="637" s="34" customFormat="1" spans="1:8">
      <c r="A637" s="50">
        <v>2100202</v>
      </c>
      <c r="B637" s="240" t="s">
        <v>512</v>
      </c>
      <c r="C637" s="243">
        <v>251</v>
      </c>
      <c r="D637" s="243">
        <v>366</v>
      </c>
      <c r="E637" s="243">
        <f>201+89</f>
        <v>290</v>
      </c>
      <c r="F637" s="24">
        <f t="shared" si="99"/>
        <v>115.537848605578</v>
      </c>
      <c r="G637" s="24">
        <f t="shared" si="100"/>
        <v>79.2349726775956</v>
      </c>
      <c r="H637" s="243"/>
    </row>
    <row r="638" s="34" customFormat="1" spans="1:8">
      <c r="A638" s="50">
        <v>2100203</v>
      </c>
      <c r="B638" s="240" t="s">
        <v>513</v>
      </c>
      <c r="C638" s="243"/>
      <c r="D638" s="243"/>
      <c r="E638" s="243"/>
      <c r="F638" s="24">
        <f t="shared" si="99"/>
        <v>0</v>
      </c>
      <c r="G638" s="24">
        <f t="shared" si="100"/>
        <v>0</v>
      </c>
      <c r="H638" s="243"/>
    </row>
    <row r="639" s="34" customFormat="1" spans="1:8">
      <c r="A639" s="50">
        <v>2100204</v>
      </c>
      <c r="B639" s="240" t="s">
        <v>514</v>
      </c>
      <c r="C639" s="243"/>
      <c r="D639" s="243"/>
      <c r="E639" s="243"/>
      <c r="F639" s="24">
        <f t="shared" si="99"/>
        <v>0</v>
      </c>
      <c r="G639" s="24">
        <f t="shared" si="100"/>
        <v>0</v>
      </c>
      <c r="H639" s="243"/>
    </row>
    <row r="640" s="34" customFormat="1" spans="1:8">
      <c r="A640" s="50">
        <v>2100205</v>
      </c>
      <c r="B640" s="240" t="s">
        <v>515</v>
      </c>
      <c r="C640" s="243"/>
      <c r="D640" s="243"/>
      <c r="E640" s="243"/>
      <c r="F640" s="24">
        <f t="shared" si="99"/>
        <v>0</v>
      </c>
      <c r="G640" s="24">
        <f t="shared" si="100"/>
        <v>0</v>
      </c>
      <c r="H640" s="243"/>
    </row>
    <row r="641" s="34" customFormat="1" spans="1:8">
      <c r="A641" s="50">
        <v>2100206</v>
      </c>
      <c r="B641" s="240" t="s">
        <v>516</v>
      </c>
      <c r="C641" s="243"/>
      <c r="D641" s="243"/>
      <c r="E641" s="243"/>
      <c r="F641" s="24">
        <f t="shared" si="99"/>
        <v>0</v>
      </c>
      <c r="G641" s="24">
        <f t="shared" si="100"/>
        <v>0</v>
      </c>
      <c r="H641" s="243"/>
    </row>
    <row r="642" s="34" customFormat="1" spans="1:8">
      <c r="A642" s="50">
        <v>2100207</v>
      </c>
      <c r="B642" s="240" t="s">
        <v>517</v>
      </c>
      <c r="C642" s="243"/>
      <c r="D642" s="243"/>
      <c r="E642" s="243"/>
      <c r="F642" s="24">
        <f t="shared" si="99"/>
        <v>0</v>
      </c>
      <c r="G642" s="24">
        <f t="shared" si="100"/>
        <v>0</v>
      </c>
      <c r="H642" s="243"/>
    </row>
    <row r="643" s="34" customFormat="1" spans="1:8">
      <c r="A643" s="50">
        <v>2100208</v>
      </c>
      <c r="B643" s="240" t="s">
        <v>518</v>
      </c>
      <c r="C643" s="243"/>
      <c r="D643" s="243"/>
      <c r="E643" s="243"/>
      <c r="F643" s="24">
        <f t="shared" si="99"/>
        <v>0</v>
      </c>
      <c r="G643" s="24">
        <f t="shared" si="100"/>
        <v>0</v>
      </c>
      <c r="H643" s="243"/>
    </row>
    <row r="644" s="34" customFormat="1" spans="1:8">
      <c r="A644" s="50">
        <v>2100209</v>
      </c>
      <c r="B644" s="240" t="s">
        <v>519</v>
      </c>
      <c r="C644" s="243"/>
      <c r="D644" s="243"/>
      <c r="E644" s="243"/>
      <c r="F644" s="24">
        <f t="shared" si="99"/>
        <v>0</v>
      </c>
      <c r="G644" s="24">
        <f t="shared" si="100"/>
        <v>0</v>
      </c>
      <c r="H644" s="243"/>
    </row>
    <row r="645" s="34" customFormat="1" spans="1:8">
      <c r="A645" s="50">
        <v>2100210</v>
      </c>
      <c r="B645" s="240" t="s">
        <v>520</v>
      </c>
      <c r="C645" s="243"/>
      <c r="D645" s="243"/>
      <c r="E645" s="243"/>
      <c r="F645" s="24">
        <f t="shared" si="99"/>
        <v>0</v>
      </c>
      <c r="G645" s="24">
        <f t="shared" si="100"/>
        <v>0</v>
      </c>
      <c r="H645" s="243"/>
    </row>
    <row r="646" s="34" customFormat="1" spans="1:8">
      <c r="A646" s="50">
        <v>2100211</v>
      </c>
      <c r="B646" s="240" t="s">
        <v>521</v>
      </c>
      <c r="C646" s="243"/>
      <c r="D646" s="243"/>
      <c r="E646" s="243"/>
      <c r="F646" s="24">
        <f t="shared" ref="F646:F709" si="114">IF(C646&gt;0,E646/C646*100,)</f>
        <v>0</v>
      </c>
      <c r="G646" s="24">
        <f t="shared" ref="G646:G709" si="115">IF(D646&gt;0,E646/D646*100,)</f>
        <v>0</v>
      </c>
      <c r="H646" s="243"/>
    </row>
    <row r="647" s="34" customFormat="1" spans="1:8">
      <c r="A647" s="50">
        <v>2100212</v>
      </c>
      <c r="B647" s="240" t="s">
        <v>522</v>
      </c>
      <c r="C647" s="243"/>
      <c r="D647" s="243"/>
      <c r="E647" s="243"/>
      <c r="F647" s="24">
        <f t="shared" si="114"/>
        <v>0</v>
      </c>
      <c r="G647" s="24">
        <f t="shared" si="115"/>
        <v>0</v>
      </c>
      <c r="H647" s="243"/>
    </row>
    <row r="648" s="34" customFormat="1" spans="1:8">
      <c r="A648" s="50">
        <v>2100213</v>
      </c>
      <c r="B648" s="240" t="s">
        <v>523</v>
      </c>
      <c r="C648" s="243"/>
      <c r="D648" s="243"/>
      <c r="E648" s="243"/>
      <c r="F648" s="24">
        <f t="shared" si="114"/>
        <v>0</v>
      </c>
      <c r="G648" s="24">
        <f t="shared" si="115"/>
        <v>0</v>
      </c>
      <c r="H648" s="243"/>
    </row>
    <row r="649" s="34" customFormat="1" spans="1:8">
      <c r="A649" s="50">
        <v>2100299</v>
      </c>
      <c r="B649" s="240" t="s">
        <v>524</v>
      </c>
      <c r="C649" s="52"/>
      <c r="D649" s="52"/>
      <c r="E649" s="52">
        <v>570</v>
      </c>
      <c r="F649" s="24">
        <f t="shared" si="114"/>
        <v>0</v>
      </c>
      <c r="G649" s="24">
        <f t="shared" si="115"/>
        <v>0</v>
      </c>
      <c r="H649" s="52"/>
    </row>
    <row r="650" s="34" customFormat="1" spans="1:8">
      <c r="A650" s="50">
        <v>21003</v>
      </c>
      <c r="B650" s="240" t="s">
        <v>525</v>
      </c>
      <c r="C650" s="241">
        <f t="shared" ref="C650:H650" si="116">SUM(C651:C653)</f>
        <v>2283</v>
      </c>
      <c r="D650" s="241">
        <f t="shared" si="116"/>
        <v>3131</v>
      </c>
      <c r="E650" s="241">
        <f t="shared" si="116"/>
        <v>2385</v>
      </c>
      <c r="F650" s="24">
        <f t="shared" si="114"/>
        <v>104.467805519054</v>
      </c>
      <c r="G650" s="24">
        <f t="shared" si="115"/>
        <v>76.1737464068988</v>
      </c>
      <c r="H650" s="241">
        <f t="shared" si="116"/>
        <v>0</v>
      </c>
    </row>
    <row r="651" s="34" customFormat="1" spans="1:8">
      <c r="A651" s="50">
        <v>2100301</v>
      </c>
      <c r="B651" s="240" t="s">
        <v>526</v>
      </c>
      <c r="C651" s="243">
        <v>0</v>
      </c>
      <c r="D651" s="243"/>
      <c r="E651" s="243"/>
      <c r="F651" s="24">
        <f t="shared" si="114"/>
        <v>0</v>
      </c>
      <c r="G651" s="24">
        <f t="shared" si="115"/>
        <v>0</v>
      </c>
      <c r="H651" s="243"/>
    </row>
    <row r="652" s="34" customFormat="1" spans="1:8">
      <c r="A652" s="50">
        <v>2100302</v>
      </c>
      <c r="B652" s="240" t="s">
        <v>527</v>
      </c>
      <c r="C652" s="243">
        <v>1763</v>
      </c>
      <c r="D652" s="243">
        <v>2199</v>
      </c>
      <c r="E652" s="243">
        <f>1450+310</f>
        <v>1760</v>
      </c>
      <c r="F652" s="24">
        <f t="shared" si="114"/>
        <v>99.8298355076574</v>
      </c>
      <c r="G652" s="24">
        <f t="shared" si="115"/>
        <v>80.0363801728058</v>
      </c>
      <c r="H652" s="243"/>
    </row>
    <row r="653" s="34" customFormat="1" spans="1:8">
      <c r="A653" s="50">
        <v>2100399</v>
      </c>
      <c r="B653" s="240" t="s">
        <v>528</v>
      </c>
      <c r="C653" s="243">
        <v>520</v>
      </c>
      <c r="D653" s="243">
        <v>932</v>
      </c>
      <c r="E653" s="243">
        <f>489+136</f>
        <v>625</v>
      </c>
      <c r="F653" s="24">
        <f t="shared" si="114"/>
        <v>120.192307692308</v>
      </c>
      <c r="G653" s="24">
        <f t="shared" si="115"/>
        <v>67.0600858369099</v>
      </c>
      <c r="H653" s="243"/>
    </row>
    <row r="654" s="34" customFormat="1" spans="1:8">
      <c r="A654" s="50">
        <v>21004</v>
      </c>
      <c r="B654" s="240" t="s">
        <v>529</v>
      </c>
      <c r="C654" s="241">
        <f t="shared" ref="C654:H654" si="117">SUM(C655:C665)</f>
        <v>2466</v>
      </c>
      <c r="D654" s="241">
        <f t="shared" si="117"/>
        <v>2871</v>
      </c>
      <c r="E654" s="241">
        <f t="shared" si="117"/>
        <v>2794</v>
      </c>
      <c r="F654" s="24">
        <f t="shared" si="114"/>
        <v>113.300892133009</v>
      </c>
      <c r="G654" s="24">
        <f t="shared" si="115"/>
        <v>97.3180076628352</v>
      </c>
      <c r="H654" s="241">
        <f t="shared" si="117"/>
        <v>0</v>
      </c>
    </row>
    <row r="655" s="34" customFormat="1" spans="1:8">
      <c r="A655" s="50">
        <v>2100401</v>
      </c>
      <c r="B655" s="240" t="s">
        <v>530</v>
      </c>
      <c r="C655" s="243">
        <v>325</v>
      </c>
      <c r="D655" s="243">
        <v>605</v>
      </c>
      <c r="E655" s="243">
        <v>380</v>
      </c>
      <c r="F655" s="24">
        <f t="shared" si="114"/>
        <v>116.923076923077</v>
      </c>
      <c r="G655" s="24">
        <f t="shared" si="115"/>
        <v>62.8099173553719</v>
      </c>
      <c r="H655" s="243"/>
    </row>
    <row r="656" s="34" customFormat="1" spans="1:8">
      <c r="A656" s="50">
        <v>2100402</v>
      </c>
      <c r="B656" s="240" t="s">
        <v>531</v>
      </c>
      <c r="C656" s="243">
        <v>151</v>
      </c>
      <c r="D656" s="243">
        <v>174</v>
      </c>
      <c r="E656" s="243">
        <v>160</v>
      </c>
      <c r="F656" s="24">
        <f t="shared" si="114"/>
        <v>105.960264900662</v>
      </c>
      <c r="G656" s="24">
        <f t="shared" si="115"/>
        <v>91.9540229885057</v>
      </c>
      <c r="H656" s="243"/>
    </row>
    <row r="657" s="34" customFormat="1" spans="1:8">
      <c r="A657" s="50">
        <v>2100403</v>
      </c>
      <c r="B657" s="240" t="s">
        <v>532</v>
      </c>
      <c r="C657" s="243">
        <v>397</v>
      </c>
      <c r="D657" s="243">
        <v>481</v>
      </c>
      <c r="E657" s="243">
        <f>228+1</f>
        <v>229</v>
      </c>
      <c r="F657" s="24">
        <f t="shared" si="114"/>
        <v>57.6826196473552</v>
      </c>
      <c r="G657" s="24">
        <f t="shared" si="115"/>
        <v>47.6091476091476</v>
      </c>
      <c r="H657" s="243"/>
    </row>
    <row r="658" s="34" customFormat="1" spans="1:8">
      <c r="A658" s="50">
        <v>2100404</v>
      </c>
      <c r="B658" s="240" t="s">
        <v>533</v>
      </c>
      <c r="C658" s="243">
        <v>0</v>
      </c>
      <c r="D658" s="243">
        <v>0</v>
      </c>
      <c r="E658" s="243"/>
      <c r="F658" s="24">
        <f t="shared" si="114"/>
        <v>0</v>
      </c>
      <c r="G658" s="24">
        <f t="shared" si="115"/>
        <v>0</v>
      </c>
      <c r="H658" s="243"/>
    </row>
    <row r="659" s="34" customFormat="1" spans="1:8">
      <c r="A659" s="50">
        <v>2100405</v>
      </c>
      <c r="B659" s="240" t="s">
        <v>534</v>
      </c>
      <c r="C659" s="243">
        <v>0</v>
      </c>
      <c r="D659" s="243">
        <v>0</v>
      </c>
      <c r="E659" s="243"/>
      <c r="F659" s="24">
        <f t="shared" si="114"/>
        <v>0</v>
      </c>
      <c r="G659" s="24">
        <f t="shared" si="115"/>
        <v>0</v>
      </c>
      <c r="H659" s="243"/>
    </row>
    <row r="660" s="34" customFormat="1" spans="1:8">
      <c r="A660" s="50">
        <v>2100406</v>
      </c>
      <c r="B660" s="240" t="s">
        <v>535</v>
      </c>
      <c r="C660" s="243">
        <v>0</v>
      </c>
      <c r="D660" s="243">
        <v>0</v>
      </c>
      <c r="E660" s="243"/>
      <c r="F660" s="24">
        <f t="shared" si="114"/>
        <v>0</v>
      </c>
      <c r="G660" s="24">
        <f t="shared" si="115"/>
        <v>0</v>
      </c>
      <c r="H660" s="243"/>
    </row>
    <row r="661" s="34" customFormat="1" spans="1:8">
      <c r="A661" s="50">
        <v>2100407</v>
      </c>
      <c r="B661" s="240" t="s">
        <v>536</v>
      </c>
      <c r="C661" s="243">
        <v>0</v>
      </c>
      <c r="D661" s="243">
        <v>0</v>
      </c>
      <c r="E661" s="243"/>
      <c r="F661" s="24">
        <f t="shared" si="114"/>
        <v>0</v>
      </c>
      <c r="G661" s="24">
        <f t="shared" si="115"/>
        <v>0</v>
      </c>
      <c r="H661" s="243"/>
    </row>
    <row r="662" s="34" customFormat="1" spans="1:8">
      <c r="A662" s="50">
        <v>2100408</v>
      </c>
      <c r="B662" s="240" t="s">
        <v>537</v>
      </c>
      <c r="C662" s="243">
        <v>1067</v>
      </c>
      <c r="D662" s="243">
        <v>1125</v>
      </c>
      <c r="E662" s="243">
        <f>1208+205</f>
        <v>1413</v>
      </c>
      <c r="F662" s="24">
        <f t="shared" si="114"/>
        <v>132.427366447985</v>
      </c>
      <c r="G662" s="24">
        <f t="shared" si="115"/>
        <v>125.6</v>
      </c>
      <c r="H662" s="243"/>
    </row>
    <row r="663" s="34" customFormat="1" spans="1:8">
      <c r="A663" s="50">
        <v>2100409</v>
      </c>
      <c r="B663" s="240" t="s">
        <v>538</v>
      </c>
      <c r="C663" s="243">
        <v>480</v>
      </c>
      <c r="D663" s="243">
        <v>440</v>
      </c>
      <c r="E663" s="243">
        <f>438+59</f>
        <v>497</v>
      </c>
      <c r="F663" s="24">
        <f t="shared" si="114"/>
        <v>103.541666666667</v>
      </c>
      <c r="G663" s="24">
        <f t="shared" si="115"/>
        <v>112.954545454545</v>
      </c>
      <c r="H663" s="243"/>
    </row>
    <row r="664" s="34" customFormat="1" spans="1:8">
      <c r="A664" s="50">
        <v>2100410</v>
      </c>
      <c r="B664" s="240" t="s">
        <v>539</v>
      </c>
      <c r="C664" s="243">
        <v>1</v>
      </c>
      <c r="D664" s="243">
        <v>1</v>
      </c>
      <c r="E664" s="243">
        <v>4</v>
      </c>
      <c r="F664" s="24">
        <f t="shared" si="114"/>
        <v>400</v>
      </c>
      <c r="G664" s="24">
        <f t="shared" si="115"/>
        <v>400</v>
      </c>
      <c r="H664" s="243"/>
    </row>
    <row r="665" s="34" customFormat="1" spans="1:8">
      <c r="A665" s="50">
        <v>2100499</v>
      </c>
      <c r="B665" s="240" t="s">
        <v>540</v>
      </c>
      <c r="C665" s="243">
        <v>45</v>
      </c>
      <c r="D665" s="243">
        <v>45</v>
      </c>
      <c r="E665" s="243">
        <v>111</v>
      </c>
      <c r="F665" s="24">
        <f t="shared" si="114"/>
        <v>246.666666666667</v>
      </c>
      <c r="G665" s="24">
        <f t="shared" si="115"/>
        <v>246.666666666667</v>
      </c>
      <c r="H665" s="243"/>
    </row>
    <row r="666" s="34" customFormat="1" spans="1:8">
      <c r="A666" s="50">
        <v>21006</v>
      </c>
      <c r="B666" s="240" t="s">
        <v>541</v>
      </c>
      <c r="C666" s="241">
        <f t="shared" ref="C666:H666" si="118">SUM(C667:C668)</f>
        <v>40</v>
      </c>
      <c r="D666" s="241">
        <f t="shared" si="118"/>
        <v>39</v>
      </c>
      <c r="E666" s="241">
        <f t="shared" si="118"/>
        <v>161</v>
      </c>
      <c r="F666" s="24">
        <f t="shared" si="114"/>
        <v>402.5</v>
      </c>
      <c r="G666" s="24">
        <f t="shared" si="115"/>
        <v>412.820512820513</v>
      </c>
      <c r="H666" s="241">
        <f t="shared" si="118"/>
        <v>0</v>
      </c>
    </row>
    <row r="667" s="34" customFormat="1" spans="1:8">
      <c r="A667" s="50">
        <v>2100601</v>
      </c>
      <c r="B667" s="240" t="s">
        <v>542</v>
      </c>
      <c r="C667" s="243">
        <v>40</v>
      </c>
      <c r="D667" s="243">
        <v>39</v>
      </c>
      <c r="E667" s="243">
        <f>160+1</f>
        <v>161</v>
      </c>
      <c r="F667" s="24">
        <f t="shared" si="114"/>
        <v>402.5</v>
      </c>
      <c r="G667" s="24">
        <f t="shared" si="115"/>
        <v>412.820512820513</v>
      </c>
      <c r="H667" s="243"/>
    </row>
    <row r="668" s="34" customFormat="1" spans="1:8">
      <c r="A668" s="50">
        <v>2100699</v>
      </c>
      <c r="B668" s="240" t="s">
        <v>543</v>
      </c>
      <c r="C668" s="243"/>
      <c r="D668" s="243"/>
      <c r="E668" s="243"/>
      <c r="F668" s="24">
        <f t="shared" si="114"/>
        <v>0</v>
      </c>
      <c r="G668" s="24">
        <f t="shared" si="115"/>
        <v>0</v>
      </c>
      <c r="H668" s="243"/>
    </row>
    <row r="669" s="34" customFormat="1" spans="1:8">
      <c r="A669" s="50">
        <v>21007</v>
      </c>
      <c r="B669" s="240" t="s">
        <v>544</v>
      </c>
      <c r="C669" s="241">
        <f t="shared" ref="C669:H669" si="119">SUM(C670:C672)</f>
        <v>1314</v>
      </c>
      <c r="D669" s="241">
        <f t="shared" si="119"/>
        <v>1485</v>
      </c>
      <c r="E669" s="241">
        <f t="shared" si="119"/>
        <v>1488</v>
      </c>
      <c r="F669" s="24">
        <f t="shared" si="114"/>
        <v>113.24200913242</v>
      </c>
      <c r="G669" s="24">
        <f t="shared" si="115"/>
        <v>100.20202020202</v>
      </c>
      <c r="H669" s="241">
        <f t="shared" si="119"/>
        <v>0</v>
      </c>
    </row>
    <row r="670" s="34" customFormat="1" spans="1:8">
      <c r="A670" s="50">
        <v>2100716</v>
      </c>
      <c r="B670" s="240" t="s">
        <v>545</v>
      </c>
      <c r="C670" s="243">
        <v>0</v>
      </c>
      <c r="D670" s="243"/>
      <c r="E670" s="243"/>
      <c r="F670" s="24">
        <f t="shared" si="114"/>
        <v>0</v>
      </c>
      <c r="G670" s="24">
        <f t="shared" si="115"/>
        <v>0</v>
      </c>
      <c r="H670" s="243"/>
    </row>
    <row r="671" s="34" customFormat="1" spans="1:8">
      <c r="A671" s="50">
        <v>2100717</v>
      </c>
      <c r="B671" s="240" t="s">
        <v>546</v>
      </c>
      <c r="C671" s="243">
        <v>922</v>
      </c>
      <c r="D671" s="243">
        <v>1074</v>
      </c>
      <c r="E671" s="243">
        <v>1031</v>
      </c>
      <c r="F671" s="24">
        <f t="shared" si="114"/>
        <v>111.822125813449</v>
      </c>
      <c r="G671" s="24">
        <f t="shared" si="115"/>
        <v>95.9962756052142</v>
      </c>
      <c r="H671" s="243"/>
    </row>
    <row r="672" s="34" customFormat="1" spans="1:8">
      <c r="A672" s="50">
        <v>2100799</v>
      </c>
      <c r="B672" s="240" t="s">
        <v>547</v>
      </c>
      <c r="C672" s="243">
        <v>392</v>
      </c>
      <c r="D672" s="243">
        <v>411</v>
      </c>
      <c r="E672" s="243">
        <v>457</v>
      </c>
      <c r="F672" s="24">
        <f t="shared" si="114"/>
        <v>116.581632653061</v>
      </c>
      <c r="G672" s="24">
        <f t="shared" si="115"/>
        <v>111.192214111922</v>
      </c>
      <c r="H672" s="243"/>
    </row>
    <row r="673" s="34" customFormat="1" spans="1:8">
      <c r="A673" s="50">
        <v>21011</v>
      </c>
      <c r="B673" s="240" t="s">
        <v>548</v>
      </c>
      <c r="C673" s="241">
        <f t="shared" ref="C673:H673" si="120">SUM(C674:C677)</f>
        <v>0</v>
      </c>
      <c r="D673" s="241">
        <f t="shared" si="120"/>
        <v>0</v>
      </c>
      <c r="E673" s="241">
        <f t="shared" si="120"/>
        <v>1998</v>
      </c>
      <c r="F673" s="24">
        <f t="shared" si="114"/>
        <v>0</v>
      </c>
      <c r="G673" s="24">
        <f t="shared" si="115"/>
        <v>0</v>
      </c>
      <c r="H673" s="241">
        <f t="shared" si="120"/>
        <v>0</v>
      </c>
    </row>
    <row r="674" s="34" customFormat="1" spans="1:8">
      <c r="A674" s="50">
        <v>2101101</v>
      </c>
      <c r="B674" s="240" t="s">
        <v>549</v>
      </c>
      <c r="C674" s="243"/>
      <c r="D674" s="243"/>
      <c r="E674" s="243">
        <v>33</v>
      </c>
      <c r="F674" s="24">
        <f t="shared" si="114"/>
        <v>0</v>
      </c>
      <c r="G674" s="24">
        <f t="shared" si="115"/>
        <v>0</v>
      </c>
      <c r="H674" s="243"/>
    </row>
    <row r="675" s="34" customFormat="1" spans="1:8">
      <c r="A675" s="50">
        <v>2101102</v>
      </c>
      <c r="B675" s="240" t="s">
        <v>550</v>
      </c>
      <c r="C675" s="243"/>
      <c r="D675" s="243"/>
      <c r="E675" s="243">
        <v>24</v>
      </c>
      <c r="F675" s="24">
        <f t="shared" si="114"/>
        <v>0</v>
      </c>
      <c r="G675" s="24">
        <f t="shared" si="115"/>
        <v>0</v>
      </c>
      <c r="H675" s="243"/>
    </row>
    <row r="676" s="34" customFormat="1" spans="1:8">
      <c r="A676" s="50">
        <v>2101103</v>
      </c>
      <c r="B676" s="240" t="s">
        <v>551</v>
      </c>
      <c r="C676" s="243"/>
      <c r="D676" s="243"/>
      <c r="E676" s="243">
        <v>1941</v>
      </c>
      <c r="F676" s="24">
        <f t="shared" si="114"/>
        <v>0</v>
      </c>
      <c r="G676" s="24">
        <f t="shared" si="115"/>
        <v>0</v>
      </c>
      <c r="H676" s="243"/>
    </row>
    <row r="677" s="34" customFormat="1" spans="1:8">
      <c r="A677" s="50">
        <v>2101199</v>
      </c>
      <c r="B677" s="240" t="s">
        <v>552</v>
      </c>
      <c r="C677" s="243"/>
      <c r="D677" s="243"/>
      <c r="E677" s="243"/>
      <c r="F677" s="24">
        <f t="shared" si="114"/>
        <v>0</v>
      </c>
      <c r="G677" s="24">
        <f t="shared" si="115"/>
        <v>0</v>
      </c>
      <c r="H677" s="243"/>
    </row>
    <row r="678" s="34" customFormat="1" spans="1:8">
      <c r="A678" s="50">
        <v>21012</v>
      </c>
      <c r="B678" s="240" t="s">
        <v>553</v>
      </c>
      <c r="C678" s="241">
        <f t="shared" ref="C678:H678" si="121">SUM(C679:C681)</f>
        <v>8201</v>
      </c>
      <c r="D678" s="241">
        <f t="shared" si="121"/>
        <v>8656</v>
      </c>
      <c r="E678" s="241">
        <f t="shared" si="121"/>
        <v>525</v>
      </c>
      <c r="F678" s="24">
        <f t="shared" si="114"/>
        <v>6.40165833434947</v>
      </c>
      <c r="G678" s="24">
        <f t="shared" si="115"/>
        <v>6.06515711645102</v>
      </c>
      <c r="H678" s="241">
        <f t="shared" si="121"/>
        <v>0</v>
      </c>
    </row>
    <row r="679" s="34" customFormat="1" spans="1:8">
      <c r="A679" s="50">
        <v>2101201</v>
      </c>
      <c r="B679" s="240" t="s">
        <v>554</v>
      </c>
      <c r="C679" s="243"/>
      <c r="D679" s="243"/>
      <c r="E679" s="243"/>
      <c r="F679" s="24">
        <f t="shared" si="114"/>
        <v>0</v>
      </c>
      <c r="G679" s="24">
        <f t="shared" si="115"/>
        <v>0</v>
      </c>
      <c r="H679" s="243"/>
    </row>
    <row r="680" s="34" customFormat="1" spans="1:8">
      <c r="A680" s="50">
        <v>2101202</v>
      </c>
      <c r="B680" s="240" t="s">
        <v>555</v>
      </c>
      <c r="C680" s="243">
        <v>8201</v>
      </c>
      <c r="D680" s="243">
        <v>8656</v>
      </c>
      <c r="E680" s="243">
        <v>525</v>
      </c>
      <c r="F680" s="24">
        <f t="shared" si="114"/>
        <v>6.40165833434947</v>
      </c>
      <c r="G680" s="24">
        <f t="shared" si="115"/>
        <v>6.06515711645102</v>
      </c>
      <c r="H680" s="243"/>
    </row>
    <row r="681" s="34" customFormat="1" spans="1:8">
      <c r="A681" s="50">
        <v>2101299</v>
      </c>
      <c r="B681" s="240" t="s">
        <v>556</v>
      </c>
      <c r="C681" s="243"/>
      <c r="D681" s="243"/>
      <c r="E681" s="243"/>
      <c r="F681" s="24">
        <f t="shared" si="114"/>
        <v>0</v>
      </c>
      <c r="G681" s="24">
        <f t="shared" si="115"/>
        <v>0</v>
      </c>
      <c r="H681" s="243"/>
    </row>
    <row r="682" s="34" customFormat="1" spans="1:8">
      <c r="A682" s="50">
        <v>21013</v>
      </c>
      <c r="B682" s="240" t="s">
        <v>557</v>
      </c>
      <c r="C682" s="241">
        <f t="shared" ref="C682:H682" si="122">SUM(C683:C685)</f>
        <v>80</v>
      </c>
      <c r="D682" s="241">
        <f t="shared" si="122"/>
        <v>193</v>
      </c>
      <c r="E682" s="241">
        <f t="shared" si="122"/>
        <v>553</v>
      </c>
      <c r="F682" s="24">
        <f t="shared" si="114"/>
        <v>691.25</v>
      </c>
      <c r="G682" s="24">
        <f t="shared" si="115"/>
        <v>286.528497409326</v>
      </c>
      <c r="H682" s="241">
        <f t="shared" si="122"/>
        <v>0</v>
      </c>
    </row>
    <row r="683" s="34" customFormat="1" spans="1:8">
      <c r="A683" s="50">
        <v>2101301</v>
      </c>
      <c r="B683" s="240" t="s">
        <v>558</v>
      </c>
      <c r="C683" s="243">
        <v>80</v>
      </c>
      <c r="D683" s="243">
        <v>193</v>
      </c>
      <c r="E683" s="243">
        <v>553</v>
      </c>
      <c r="F683" s="24">
        <f t="shared" si="114"/>
        <v>691.25</v>
      </c>
      <c r="G683" s="24">
        <f t="shared" si="115"/>
        <v>286.528497409326</v>
      </c>
      <c r="H683" s="243"/>
    </row>
    <row r="684" s="34" customFormat="1" spans="1:8">
      <c r="A684" s="50">
        <v>2101302</v>
      </c>
      <c r="B684" s="240" t="s">
        <v>559</v>
      </c>
      <c r="C684" s="243"/>
      <c r="D684" s="243"/>
      <c r="E684" s="243"/>
      <c r="F684" s="24">
        <f t="shared" si="114"/>
        <v>0</v>
      </c>
      <c r="G684" s="24">
        <f t="shared" si="115"/>
        <v>0</v>
      </c>
      <c r="H684" s="243"/>
    </row>
    <row r="685" s="34" customFormat="1" spans="1:8">
      <c r="A685" s="50">
        <v>2101399</v>
      </c>
      <c r="B685" s="240" t="s">
        <v>560</v>
      </c>
      <c r="C685" s="243"/>
      <c r="D685" s="243"/>
      <c r="E685" s="243"/>
      <c r="F685" s="24">
        <f t="shared" si="114"/>
        <v>0</v>
      </c>
      <c r="G685" s="24">
        <f t="shared" si="115"/>
        <v>0</v>
      </c>
      <c r="H685" s="243"/>
    </row>
    <row r="686" s="34" customFormat="1" spans="1:8">
      <c r="A686" s="50">
        <v>21014</v>
      </c>
      <c r="B686" s="240" t="s">
        <v>561</v>
      </c>
      <c r="C686" s="241">
        <f t="shared" ref="C686:H686" si="123">SUM(C687:C688)</f>
        <v>29</v>
      </c>
      <c r="D686" s="241">
        <f t="shared" si="123"/>
        <v>6</v>
      </c>
      <c r="E686" s="241">
        <f t="shared" si="123"/>
        <v>30</v>
      </c>
      <c r="F686" s="24">
        <f t="shared" si="114"/>
        <v>103.448275862069</v>
      </c>
      <c r="G686" s="24">
        <f t="shared" si="115"/>
        <v>500</v>
      </c>
      <c r="H686" s="241">
        <f t="shared" si="123"/>
        <v>0</v>
      </c>
    </row>
    <row r="687" s="34" customFormat="1" spans="1:8">
      <c r="A687" s="50">
        <v>2101401</v>
      </c>
      <c r="B687" s="240" t="s">
        <v>562</v>
      </c>
      <c r="C687" s="243">
        <v>6</v>
      </c>
      <c r="D687" s="243">
        <v>6</v>
      </c>
      <c r="E687" s="243">
        <v>3</v>
      </c>
      <c r="F687" s="24">
        <f t="shared" si="114"/>
        <v>50</v>
      </c>
      <c r="G687" s="24">
        <f t="shared" si="115"/>
        <v>50</v>
      </c>
      <c r="H687" s="243"/>
    </row>
    <row r="688" s="34" customFormat="1" spans="1:8">
      <c r="A688" s="50">
        <v>2101499</v>
      </c>
      <c r="B688" s="240" t="s">
        <v>563</v>
      </c>
      <c r="C688" s="243">
        <v>23</v>
      </c>
      <c r="D688" s="243">
        <v>0</v>
      </c>
      <c r="E688" s="243">
        <v>27</v>
      </c>
      <c r="F688" s="24">
        <f t="shared" si="114"/>
        <v>117.391304347826</v>
      </c>
      <c r="G688" s="24">
        <f t="shared" si="115"/>
        <v>0</v>
      </c>
      <c r="H688" s="243"/>
    </row>
    <row r="689" s="34" customFormat="1" spans="1:8">
      <c r="A689" s="50">
        <v>21015</v>
      </c>
      <c r="B689" s="240" t="s">
        <v>564</v>
      </c>
      <c r="C689" s="241">
        <f t="shared" ref="C689:H689" si="124">SUM(C690:C697)</f>
        <v>301</v>
      </c>
      <c r="D689" s="241">
        <f t="shared" si="124"/>
        <v>295</v>
      </c>
      <c r="E689" s="241">
        <f t="shared" si="124"/>
        <v>340</v>
      </c>
      <c r="F689" s="24">
        <f t="shared" si="114"/>
        <v>112.956810631229</v>
      </c>
      <c r="G689" s="24">
        <f t="shared" si="115"/>
        <v>115.254237288136</v>
      </c>
      <c r="H689" s="241">
        <f t="shared" si="124"/>
        <v>0</v>
      </c>
    </row>
    <row r="690" s="34" customFormat="1" spans="1:8">
      <c r="A690" s="50">
        <v>2101501</v>
      </c>
      <c r="B690" s="240" t="s">
        <v>68</v>
      </c>
      <c r="C690" s="243">
        <v>226</v>
      </c>
      <c r="D690" s="243">
        <v>210</v>
      </c>
      <c r="E690" s="243">
        <v>227</v>
      </c>
      <c r="F690" s="24">
        <f t="shared" si="114"/>
        <v>100.442477876106</v>
      </c>
      <c r="G690" s="24">
        <f t="shared" si="115"/>
        <v>108.095238095238</v>
      </c>
      <c r="H690" s="243"/>
    </row>
    <row r="691" s="34" customFormat="1" spans="1:8">
      <c r="A691" s="50">
        <v>2101502</v>
      </c>
      <c r="B691" s="240" t="s">
        <v>69</v>
      </c>
      <c r="C691" s="243">
        <v>60</v>
      </c>
      <c r="D691" s="243">
        <v>85</v>
      </c>
      <c r="E691" s="243">
        <f>100+1</f>
        <v>101</v>
      </c>
      <c r="F691" s="24">
        <f t="shared" si="114"/>
        <v>168.333333333333</v>
      </c>
      <c r="G691" s="24">
        <f t="shared" si="115"/>
        <v>118.823529411765</v>
      </c>
      <c r="H691" s="243"/>
    </row>
    <row r="692" s="34" customFormat="1" spans="1:8">
      <c r="A692" s="50">
        <v>2101503</v>
      </c>
      <c r="B692" s="240" t="s">
        <v>70</v>
      </c>
      <c r="C692" s="243">
        <v>0</v>
      </c>
      <c r="D692" s="243"/>
      <c r="E692" s="243"/>
      <c r="F692" s="24">
        <f t="shared" si="114"/>
        <v>0</v>
      </c>
      <c r="G692" s="24">
        <f t="shared" si="115"/>
        <v>0</v>
      </c>
      <c r="H692" s="243"/>
    </row>
    <row r="693" s="34" customFormat="1" spans="1:8">
      <c r="A693" s="50">
        <v>2101504</v>
      </c>
      <c r="B693" s="240" t="s">
        <v>109</v>
      </c>
      <c r="C693" s="243">
        <v>15</v>
      </c>
      <c r="D693" s="243"/>
      <c r="E693" s="243"/>
      <c r="F693" s="24">
        <f t="shared" si="114"/>
        <v>0</v>
      </c>
      <c r="G693" s="24">
        <f t="shared" si="115"/>
        <v>0</v>
      </c>
      <c r="H693" s="243"/>
    </row>
    <row r="694" s="34" customFormat="1" spans="1:8">
      <c r="A694" s="50">
        <v>2101505</v>
      </c>
      <c r="B694" s="240" t="s">
        <v>565</v>
      </c>
      <c r="C694" s="243">
        <v>0</v>
      </c>
      <c r="D694" s="243"/>
      <c r="E694" s="243"/>
      <c r="F694" s="24">
        <f t="shared" si="114"/>
        <v>0</v>
      </c>
      <c r="G694" s="24">
        <f t="shared" si="115"/>
        <v>0</v>
      </c>
      <c r="H694" s="243"/>
    </row>
    <row r="695" s="34" customFormat="1" spans="1:8">
      <c r="A695" s="50">
        <v>2101506</v>
      </c>
      <c r="B695" s="240" t="s">
        <v>566</v>
      </c>
      <c r="C695" s="243">
        <v>0</v>
      </c>
      <c r="D695" s="243"/>
      <c r="E695" s="243"/>
      <c r="F695" s="24">
        <f t="shared" si="114"/>
        <v>0</v>
      </c>
      <c r="G695" s="24">
        <f t="shared" si="115"/>
        <v>0</v>
      </c>
      <c r="H695" s="243"/>
    </row>
    <row r="696" s="34" customFormat="1" spans="1:8">
      <c r="A696" s="50">
        <v>2101550</v>
      </c>
      <c r="B696" s="240" t="s">
        <v>77</v>
      </c>
      <c r="C696" s="243">
        <v>0</v>
      </c>
      <c r="D696" s="243"/>
      <c r="E696" s="243"/>
      <c r="F696" s="24">
        <f t="shared" si="114"/>
        <v>0</v>
      </c>
      <c r="G696" s="24">
        <f t="shared" si="115"/>
        <v>0</v>
      </c>
      <c r="H696" s="243"/>
    </row>
    <row r="697" s="34" customFormat="1" spans="1:8">
      <c r="A697" s="50">
        <v>2101599</v>
      </c>
      <c r="B697" s="240" t="s">
        <v>567</v>
      </c>
      <c r="C697" s="243">
        <v>0</v>
      </c>
      <c r="D697" s="243"/>
      <c r="E697" s="243">
        <v>12</v>
      </c>
      <c r="F697" s="24">
        <f t="shared" si="114"/>
        <v>0</v>
      </c>
      <c r="G697" s="24">
        <f t="shared" si="115"/>
        <v>0</v>
      </c>
      <c r="H697" s="243"/>
    </row>
    <row r="698" s="34" customFormat="1" spans="1:8">
      <c r="A698" s="50">
        <v>21016</v>
      </c>
      <c r="B698" s="240" t="s">
        <v>568</v>
      </c>
      <c r="C698" s="243">
        <v>314</v>
      </c>
      <c r="D698" s="243">
        <v>314</v>
      </c>
      <c r="E698" s="243">
        <v>323</v>
      </c>
      <c r="F698" s="24">
        <f t="shared" si="114"/>
        <v>102.866242038217</v>
      </c>
      <c r="G698" s="24">
        <f t="shared" si="115"/>
        <v>102.866242038217</v>
      </c>
      <c r="H698" s="243"/>
    </row>
    <row r="699" s="34" customFormat="1" spans="1:8">
      <c r="A699" s="50">
        <v>21099</v>
      </c>
      <c r="B699" s="251" t="s">
        <v>569</v>
      </c>
      <c r="C699" s="243">
        <v>2</v>
      </c>
      <c r="D699" s="243">
        <v>384</v>
      </c>
      <c r="E699" s="243">
        <f>4+358</f>
        <v>362</v>
      </c>
      <c r="F699" s="24">
        <f t="shared" si="114"/>
        <v>18100</v>
      </c>
      <c r="G699" s="24">
        <f t="shared" si="115"/>
        <v>94.2708333333333</v>
      </c>
      <c r="H699" s="243"/>
    </row>
    <row r="700" s="34" customFormat="1" spans="1:8">
      <c r="A700" s="50">
        <v>211</v>
      </c>
      <c r="B700" s="251" t="s">
        <v>570</v>
      </c>
      <c r="C700" s="241">
        <f t="shared" ref="C700:H700" si="125">SUM(C701,C711,C715,C724,C731,C738,C744,C747,C750,C751,C752,C758,C759,C760,C771)</f>
        <v>3086</v>
      </c>
      <c r="D700" s="241">
        <f t="shared" si="125"/>
        <v>581</v>
      </c>
      <c r="E700" s="241">
        <f t="shared" si="125"/>
        <v>5449</v>
      </c>
      <c r="F700" s="24">
        <f t="shared" si="114"/>
        <v>176.571613739469</v>
      </c>
      <c r="G700" s="24">
        <f t="shared" si="115"/>
        <v>937.865748709122</v>
      </c>
      <c r="H700" s="241">
        <f t="shared" si="125"/>
        <v>0</v>
      </c>
    </row>
    <row r="701" s="34" customFormat="1" spans="1:8">
      <c r="A701" s="50">
        <v>21101</v>
      </c>
      <c r="B701" s="251" t="s">
        <v>571</v>
      </c>
      <c r="C701" s="241">
        <f t="shared" ref="C701:H701" si="126">SUM(C702:C710)</f>
        <v>75</v>
      </c>
      <c r="D701" s="241">
        <f t="shared" si="126"/>
        <v>86</v>
      </c>
      <c r="E701" s="241">
        <f t="shared" si="126"/>
        <v>37</v>
      </c>
      <c r="F701" s="24">
        <f t="shared" si="114"/>
        <v>49.3333333333333</v>
      </c>
      <c r="G701" s="24">
        <f t="shared" si="115"/>
        <v>43.0232558139535</v>
      </c>
      <c r="H701" s="241">
        <f t="shared" si="126"/>
        <v>0</v>
      </c>
    </row>
    <row r="702" s="34" customFormat="1" spans="1:8">
      <c r="A702" s="50">
        <v>2110101</v>
      </c>
      <c r="B702" s="251" t="s">
        <v>68</v>
      </c>
      <c r="C702" s="243">
        <v>0</v>
      </c>
      <c r="D702" s="243">
        <v>1</v>
      </c>
      <c r="E702" s="243"/>
      <c r="F702" s="24">
        <f t="shared" si="114"/>
        <v>0</v>
      </c>
      <c r="G702" s="24">
        <f t="shared" si="115"/>
        <v>0</v>
      </c>
      <c r="H702" s="243"/>
    </row>
    <row r="703" s="34" customFormat="1" spans="1:8">
      <c r="A703" s="50">
        <v>2110102</v>
      </c>
      <c r="B703" s="251" t="s">
        <v>69</v>
      </c>
      <c r="C703" s="243">
        <v>43</v>
      </c>
      <c r="D703" s="243">
        <v>16</v>
      </c>
      <c r="E703" s="243">
        <v>7</v>
      </c>
      <c r="F703" s="24">
        <f t="shared" si="114"/>
        <v>16.2790697674419</v>
      </c>
      <c r="G703" s="24">
        <f t="shared" si="115"/>
        <v>43.75</v>
      </c>
      <c r="H703" s="243"/>
    </row>
    <row r="704" s="34" customFormat="1" spans="1:8">
      <c r="A704" s="50">
        <v>2110103</v>
      </c>
      <c r="B704" s="251" t="s">
        <v>70</v>
      </c>
      <c r="C704" s="243">
        <v>0</v>
      </c>
      <c r="D704" s="243"/>
      <c r="E704" s="243"/>
      <c r="F704" s="24">
        <f t="shared" si="114"/>
        <v>0</v>
      </c>
      <c r="G704" s="24">
        <f t="shared" si="115"/>
        <v>0</v>
      </c>
      <c r="H704" s="243"/>
    </row>
    <row r="705" s="34" customFormat="1" spans="1:8">
      <c r="A705" s="50">
        <v>2110104</v>
      </c>
      <c r="B705" s="251" t="s">
        <v>572</v>
      </c>
      <c r="C705" s="243">
        <v>0</v>
      </c>
      <c r="D705" s="243"/>
      <c r="E705" s="243"/>
      <c r="F705" s="24">
        <f t="shared" si="114"/>
        <v>0</v>
      </c>
      <c r="G705" s="24">
        <f t="shared" si="115"/>
        <v>0</v>
      </c>
      <c r="H705" s="243"/>
    </row>
    <row r="706" s="34" customFormat="1" spans="1:8">
      <c r="A706" s="50">
        <v>2110105</v>
      </c>
      <c r="B706" s="251" t="s">
        <v>573</v>
      </c>
      <c r="C706" s="243">
        <v>0</v>
      </c>
      <c r="D706" s="243"/>
      <c r="E706" s="243"/>
      <c r="F706" s="24">
        <f t="shared" si="114"/>
        <v>0</v>
      </c>
      <c r="G706" s="24">
        <f t="shared" si="115"/>
        <v>0</v>
      </c>
      <c r="H706" s="243"/>
    </row>
    <row r="707" s="34" customFormat="1" spans="1:8">
      <c r="A707" s="50">
        <v>2110106</v>
      </c>
      <c r="B707" s="251" t="s">
        <v>574</v>
      </c>
      <c r="C707" s="243">
        <v>0</v>
      </c>
      <c r="D707" s="243"/>
      <c r="E707" s="243"/>
      <c r="F707" s="24">
        <f t="shared" si="114"/>
        <v>0</v>
      </c>
      <c r="G707" s="24">
        <f t="shared" si="115"/>
        <v>0</v>
      </c>
      <c r="H707" s="243"/>
    </row>
    <row r="708" s="34" customFormat="1" spans="1:8">
      <c r="A708" s="50">
        <v>2110107</v>
      </c>
      <c r="B708" s="251" t="s">
        <v>575</v>
      </c>
      <c r="C708" s="243">
        <v>0</v>
      </c>
      <c r="D708" s="243"/>
      <c r="E708" s="243"/>
      <c r="F708" s="24">
        <f t="shared" si="114"/>
        <v>0</v>
      </c>
      <c r="G708" s="24">
        <f t="shared" si="115"/>
        <v>0</v>
      </c>
      <c r="H708" s="243"/>
    </row>
    <row r="709" s="34" customFormat="1" spans="1:8">
      <c r="A709" s="50">
        <v>2110108</v>
      </c>
      <c r="B709" s="251" t="s">
        <v>576</v>
      </c>
      <c r="C709" s="243">
        <v>0</v>
      </c>
      <c r="D709" s="243"/>
      <c r="E709" s="243"/>
      <c r="F709" s="24">
        <f t="shared" si="114"/>
        <v>0</v>
      </c>
      <c r="G709" s="24">
        <f t="shared" si="115"/>
        <v>0</v>
      </c>
      <c r="H709" s="243"/>
    </row>
    <row r="710" s="34" customFormat="1" spans="1:8">
      <c r="A710" s="50">
        <v>2110199</v>
      </c>
      <c r="B710" s="251" t="s">
        <v>577</v>
      </c>
      <c r="C710" s="243">
        <v>32</v>
      </c>
      <c r="D710" s="243">
        <v>69</v>
      </c>
      <c r="E710" s="243">
        <f>12+18</f>
        <v>30</v>
      </c>
      <c r="F710" s="24">
        <f t="shared" ref="F710:F773" si="127">IF(C710&gt;0,E710/C710*100,)</f>
        <v>93.75</v>
      </c>
      <c r="G710" s="24">
        <f t="shared" ref="G710:G773" si="128">IF(D710&gt;0,E710/D710*100,)</f>
        <v>43.4782608695652</v>
      </c>
      <c r="H710" s="243"/>
    </row>
    <row r="711" s="34" customFormat="1" spans="1:8">
      <c r="A711" s="50">
        <v>21102</v>
      </c>
      <c r="B711" s="251" t="s">
        <v>578</v>
      </c>
      <c r="C711" s="241">
        <f t="shared" ref="C711:H711" si="129">SUM(C712:C714)</f>
        <v>44</v>
      </c>
      <c r="D711" s="241">
        <f t="shared" si="129"/>
        <v>52</v>
      </c>
      <c r="E711" s="241">
        <f t="shared" si="129"/>
        <v>81</v>
      </c>
      <c r="F711" s="24">
        <f t="shared" si="127"/>
        <v>184.090909090909</v>
      </c>
      <c r="G711" s="24">
        <f t="shared" si="128"/>
        <v>155.769230769231</v>
      </c>
      <c r="H711" s="241">
        <f t="shared" si="129"/>
        <v>0</v>
      </c>
    </row>
    <row r="712" s="34" customFormat="1" spans="1:8">
      <c r="A712" s="50">
        <v>2110203</v>
      </c>
      <c r="B712" s="251" t="s">
        <v>579</v>
      </c>
      <c r="C712" s="243"/>
      <c r="D712" s="243"/>
      <c r="E712" s="243"/>
      <c r="F712" s="24">
        <f t="shared" si="127"/>
        <v>0</v>
      </c>
      <c r="G712" s="24">
        <f t="shared" si="128"/>
        <v>0</v>
      </c>
      <c r="H712" s="243"/>
    </row>
    <row r="713" s="34" customFormat="1" spans="1:8">
      <c r="A713" s="50">
        <v>2110204</v>
      </c>
      <c r="B713" s="251" t="s">
        <v>580</v>
      </c>
      <c r="C713" s="243"/>
      <c r="D713" s="243"/>
      <c r="E713" s="243"/>
      <c r="F713" s="24">
        <f t="shared" si="127"/>
        <v>0</v>
      </c>
      <c r="G713" s="24">
        <f t="shared" si="128"/>
        <v>0</v>
      </c>
      <c r="H713" s="243"/>
    </row>
    <row r="714" s="34" customFormat="1" spans="1:8">
      <c r="A714" s="50">
        <v>2110299</v>
      </c>
      <c r="B714" s="251" t="s">
        <v>581</v>
      </c>
      <c r="C714" s="243">
        <v>44</v>
      </c>
      <c r="D714" s="243">
        <v>52</v>
      </c>
      <c r="E714" s="243">
        <v>81</v>
      </c>
      <c r="F714" s="24">
        <f t="shared" si="127"/>
        <v>184.090909090909</v>
      </c>
      <c r="G714" s="24">
        <f t="shared" si="128"/>
        <v>155.769230769231</v>
      </c>
      <c r="H714" s="243"/>
    </row>
    <row r="715" s="34" customFormat="1" spans="1:8">
      <c r="A715" s="50">
        <v>21103</v>
      </c>
      <c r="B715" s="251" t="s">
        <v>582</v>
      </c>
      <c r="C715" s="241">
        <f t="shared" ref="C715:H715" si="130">SUM(C716:C723)</f>
        <v>30</v>
      </c>
      <c r="D715" s="241">
        <f t="shared" si="130"/>
        <v>39</v>
      </c>
      <c r="E715" s="241">
        <f t="shared" si="130"/>
        <v>41</v>
      </c>
      <c r="F715" s="24">
        <f t="shared" si="127"/>
        <v>136.666666666667</v>
      </c>
      <c r="G715" s="24">
        <f t="shared" si="128"/>
        <v>105.128205128205</v>
      </c>
      <c r="H715" s="241">
        <f t="shared" si="130"/>
        <v>0</v>
      </c>
    </row>
    <row r="716" s="34" customFormat="1" spans="1:8">
      <c r="A716" s="50">
        <v>2110301</v>
      </c>
      <c r="B716" s="251" t="s">
        <v>583</v>
      </c>
      <c r="C716" s="243"/>
      <c r="D716" s="243"/>
      <c r="E716" s="243"/>
      <c r="F716" s="24">
        <f t="shared" si="127"/>
        <v>0</v>
      </c>
      <c r="G716" s="24">
        <f t="shared" si="128"/>
        <v>0</v>
      </c>
      <c r="H716" s="243"/>
    </row>
    <row r="717" s="34" customFormat="1" spans="1:8">
      <c r="A717" s="50">
        <v>2110302</v>
      </c>
      <c r="B717" s="251" t="s">
        <v>584</v>
      </c>
      <c r="C717" s="243"/>
      <c r="D717" s="243"/>
      <c r="E717" s="243"/>
      <c r="F717" s="24">
        <f t="shared" si="127"/>
        <v>0</v>
      </c>
      <c r="G717" s="24">
        <f t="shared" si="128"/>
        <v>0</v>
      </c>
      <c r="H717" s="243"/>
    </row>
    <row r="718" s="34" customFormat="1" spans="1:8">
      <c r="A718" s="50">
        <v>2110303</v>
      </c>
      <c r="B718" s="251" t="s">
        <v>585</v>
      </c>
      <c r="C718" s="243"/>
      <c r="D718" s="243"/>
      <c r="E718" s="243"/>
      <c r="F718" s="24">
        <f t="shared" si="127"/>
        <v>0</v>
      </c>
      <c r="G718" s="24">
        <f t="shared" si="128"/>
        <v>0</v>
      </c>
      <c r="H718" s="243"/>
    </row>
    <row r="719" s="34" customFormat="1" spans="1:8">
      <c r="A719" s="50">
        <v>2110304</v>
      </c>
      <c r="B719" s="251" t="s">
        <v>586</v>
      </c>
      <c r="C719" s="243"/>
      <c r="D719" s="243"/>
      <c r="E719" s="243"/>
      <c r="F719" s="24">
        <f t="shared" si="127"/>
        <v>0</v>
      </c>
      <c r="G719" s="24">
        <f t="shared" si="128"/>
        <v>0</v>
      </c>
      <c r="H719" s="243"/>
    </row>
    <row r="720" s="34" customFormat="1" spans="1:8">
      <c r="A720" s="50">
        <v>2110305</v>
      </c>
      <c r="B720" s="251" t="s">
        <v>587</v>
      </c>
      <c r="C720" s="243"/>
      <c r="D720" s="243"/>
      <c r="E720" s="243"/>
      <c r="F720" s="24">
        <f t="shared" si="127"/>
        <v>0</v>
      </c>
      <c r="G720" s="24">
        <f t="shared" si="128"/>
        <v>0</v>
      </c>
      <c r="H720" s="243"/>
    </row>
    <row r="721" s="34" customFormat="1" spans="1:8">
      <c r="A721" s="50">
        <v>2110306</v>
      </c>
      <c r="B721" s="251" t="s">
        <v>588</v>
      </c>
      <c r="C721" s="243"/>
      <c r="D721" s="243"/>
      <c r="E721" s="243"/>
      <c r="F721" s="24">
        <f t="shared" si="127"/>
        <v>0</v>
      </c>
      <c r="G721" s="24">
        <f t="shared" si="128"/>
        <v>0</v>
      </c>
      <c r="H721" s="243"/>
    </row>
    <row r="722" s="34" customFormat="1" spans="1:8">
      <c r="A722" s="50">
        <v>2110307</v>
      </c>
      <c r="B722" s="251" t="s">
        <v>589</v>
      </c>
      <c r="C722" s="243"/>
      <c r="D722" s="243"/>
      <c r="E722" s="243"/>
      <c r="F722" s="24">
        <f t="shared" si="127"/>
        <v>0</v>
      </c>
      <c r="G722" s="24">
        <f t="shared" si="128"/>
        <v>0</v>
      </c>
      <c r="H722" s="243"/>
    </row>
    <row r="723" s="34" customFormat="1" spans="1:8">
      <c r="A723" s="50">
        <v>2110399</v>
      </c>
      <c r="B723" s="251" t="s">
        <v>590</v>
      </c>
      <c r="C723" s="243">
        <v>30</v>
      </c>
      <c r="D723" s="243">
        <v>39</v>
      </c>
      <c r="E723" s="243">
        <v>41</v>
      </c>
      <c r="F723" s="24">
        <f t="shared" si="127"/>
        <v>136.666666666667</v>
      </c>
      <c r="G723" s="24">
        <f t="shared" si="128"/>
        <v>105.128205128205</v>
      </c>
      <c r="H723" s="243"/>
    </row>
    <row r="724" s="34" customFormat="1" spans="1:8">
      <c r="A724" s="50">
        <v>21104</v>
      </c>
      <c r="B724" s="251" t="s">
        <v>591</v>
      </c>
      <c r="C724" s="241">
        <f t="shared" ref="C724:H724" si="131">SUM(C725:C730)</f>
        <v>2850</v>
      </c>
      <c r="D724" s="241">
        <f t="shared" si="131"/>
        <v>102</v>
      </c>
      <c r="E724" s="241">
        <f t="shared" si="131"/>
        <v>5268</v>
      </c>
      <c r="F724" s="24">
        <f t="shared" si="127"/>
        <v>184.842105263158</v>
      </c>
      <c r="G724" s="24">
        <f t="shared" si="128"/>
        <v>5164.70588235294</v>
      </c>
      <c r="H724" s="241">
        <f t="shared" si="131"/>
        <v>0</v>
      </c>
    </row>
    <row r="725" s="34" customFormat="1" spans="1:8">
      <c r="A725" s="50">
        <v>2110401</v>
      </c>
      <c r="B725" s="251" t="s">
        <v>592</v>
      </c>
      <c r="C725" s="243">
        <v>2850</v>
      </c>
      <c r="D725" s="243"/>
      <c r="E725" s="243">
        <f>1603+2850+797</f>
        <v>5250</v>
      </c>
      <c r="F725" s="24">
        <f t="shared" si="127"/>
        <v>184.210526315789</v>
      </c>
      <c r="G725" s="24">
        <f t="shared" si="128"/>
        <v>0</v>
      </c>
      <c r="H725" s="243"/>
    </row>
    <row r="726" s="34" customFormat="1" spans="1:8">
      <c r="A726" s="50">
        <v>2110402</v>
      </c>
      <c r="B726" s="251" t="s">
        <v>593</v>
      </c>
      <c r="C726" s="243"/>
      <c r="D726" s="243">
        <v>20</v>
      </c>
      <c r="E726" s="243"/>
      <c r="F726" s="24">
        <f t="shared" si="127"/>
        <v>0</v>
      </c>
      <c r="G726" s="24">
        <f t="shared" si="128"/>
        <v>0</v>
      </c>
      <c r="H726" s="243"/>
    </row>
    <row r="727" s="34" customFormat="1" spans="1:8">
      <c r="A727" s="50">
        <v>2110404</v>
      </c>
      <c r="B727" s="251" t="s">
        <v>594</v>
      </c>
      <c r="C727" s="243"/>
      <c r="D727" s="243"/>
      <c r="E727" s="243"/>
      <c r="F727" s="24">
        <f t="shared" si="127"/>
        <v>0</v>
      </c>
      <c r="G727" s="24">
        <f t="shared" si="128"/>
        <v>0</v>
      </c>
      <c r="H727" s="243"/>
    </row>
    <row r="728" s="34" customFormat="1" spans="1:8">
      <c r="A728" s="50">
        <v>2110405</v>
      </c>
      <c r="B728" s="251" t="s">
        <v>595</v>
      </c>
      <c r="C728" s="243"/>
      <c r="D728" s="243"/>
      <c r="E728" s="243"/>
      <c r="F728" s="24">
        <f t="shared" si="127"/>
        <v>0</v>
      </c>
      <c r="G728" s="24">
        <f t="shared" si="128"/>
        <v>0</v>
      </c>
      <c r="H728" s="243"/>
    </row>
    <row r="729" s="34" customFormat="1" spans="1:8">
      <c r="A729" s="50">
        <v>2110406</v>
      </c>
      <c r="B729" s="251" t="s">
        <v>596</v>
      </c>
      <c r="C729" s="52"/>
      <c r="D729" s="52"/>
      <c r="E729" s="52"/>
      <c r="F729" s="24">
        <f t="shared" si="127"/>
        <v>0</v>
      </c>
      <c r="G729" s="24">
        <f t="shared" si="128"/>
        <v>0</v>
      </c>
      <c r="H729" s="52"/>
    </row>
    <row r="730" s="34" customFormat="1" spans="1:8">
      <c r="A730" s="50">
        <v>2110499</v>
      </c>
      <c r="B730" s="251" t="s">
        <v>597</v>
      </c>
      <c r="C730" s="52"/>
      <c r="D730" s="52">
        <v>82</v>
      </c>
      <c r="E730" s="52">
        <v>18</v>
      </c>
      <c r="F730" s="24">
        <f t="shared" si="127"/>
        <v>0</v>
      </c>
      <c r="G730" s="24">
        <f t="shared" si="128"/>
        <v>21.9512195121951</v>
      </c>
      <c r="H730" s="52"/>
    </row>
    <row r="731" s="34" customFormat="1" spans="1:8">
      <c r="A731" s="50">
        <v>21105</v>
      </c>
      <c r="B731" s="251" t="s">
        <v>598</v>
      </c>
      <c r="C731" s="241">
        <f t="shared" ref="C731:H731" si="132">SUM(C732:C737)</f>
        <v>3</v>
      </c>
      <c r="D731" s="241">
        <f t="shared" si="132"/>
        <v>81</v>
      </c>
      <c r="E731" s="241">
        <f t="shared" si="132"/>
        <v>3</v>
      </c>
      <c r="F731" s="24">
        <f t="shared" si="127"/>
        <v>100</v>
      </c>
      <c r="G731" s="24">
        <f t="shared" si="128"/>
        <v>3.7037037037037</v>
      </c>
      <c r="H731" s="241">
        <f t="shared" si="132"/>
        <v>0</v>
      </c>
    </row>
    <row r="732" s="34" customFormat="1" spans="1:8">
      <c r="A732" s="50">
        <v>2110501</v>
      </c>
      <c r="B732" s="251" t="s">
        <v>599</v>
      </c>
      <c r="C732" s="243"/>
      <c r="D732" s="243"/>
      <c r="E732" s="243"/>
      <c r="F732" s="24">
        <f t="shared" si="127"/>
        <v>0</v>
      </c>
      <c r="G732" s="24">
        <f t="shared" si="128"/>
        <v>0</v>
      </c>
      <c r="H732" s="243"/>
    </row>
    <row r="733" s="34" customFormat="1" spans="1:8">
      <c r="A733" s="50">
        <v>2110502</v>
      </c>
      <c r="B733" s="251" t="s">
        <v>600</v>
      </c>
      <c r="C733" s="243"/>
      <c r="D733" s="243"/>
      <c r="E733" s="243"/>
      <c r="F733" s="24">
        <f t="shared" si="127"/>
        <v>0</v>
      </c>
      <c r="G733" s="24">
        <f t="shared" si="128"/>
        <v>0</v>
      </c>
      <c r="H733" s="243"/>
    </row>
    <row r="734" s="34" customFormat="1" spans="1:8">
      <c r="A734" s="50">
        <v>2110503</v>
      </c>
      <c r="B734" s="251" t="s">
        <v>601</v>
      </c>
      <c r="C734" s="243"/>
      <c r="D734" s="243">
        <v>77</v>
      </c>
      <c r="E734" s="243"/>
      <c r="F734" s="24">
        <f t="shared" si="127"/>
        <v>0</v>
      </c>
      <c r="G734" s="24">
        <f t="shared" si="128"/>
        <v>0</v>
      </c>
      <c r="H734" s="243"/>
    </row>
    <row r="735" s="34" customFormat="1" spans="1:8">
      <c r="A735" s="50">
        <v>2110506</v>
      </c>
      <c r="B735" s="251" t="s">
        <v>602</v>
      </c>
      <c r="C735" s="243"/>
      <c r="D735" s="243"/>
      <c r="E735" s="243"/>
      <c r="F735" s="24">
        <f t="shared" si="127"/>
        <v>0</v>
      </c>
      <c r="G735" s="24">
        <f t="shared" si="128"/>
        <v>0</v>
      </c>
      <c r="H735" s="243"/>
    </row>
    <row r="736" s="34" customFormat="1" spans="1:8">
      <c r="A736" s="50">
        <v>2110507</v>
      </c>
      <c r="B736" s="251" t="s">
        <v>603</v>
      </c>
      <c r="C736" s="243">
        <v>3</v>
      </c>
      <c r="D736" s="243">
        <v>4</v>
      </c>
      <c r="E736" s="243">
        <v>3</v>
      </c>
      <c r="F736" s="24">
        <f t="shared" si="127"/>
        <v>100</v>
      </c>
      <c r="G736" s="24">
        <f t="shared" si="128"/>
        <v>75</v>
      </c>
      <c r="H736" s="243"/>
    </row>
    <row r="737" s="34" customFormat="1" spans="1:8">
      <c r="A737" s="50">
        <v>2110599</v>
      </c>
      <c r="B737" s="251" t="s">
        <v>604</v>
      </c>
      <c r="C737" s="243"/>
      <c r="D737" s="243"/>
      <c r="E737" s="243"/>
      <c r="F737" s="24">
        <f t="shared" si="127"/>
        <v>0</v>
      </c>
      <c r="G737" s="24">
        <f t="shared" si="128"/>
        <v>0</v>
      </c>
      <c r="H737" s="243"/>
    </row>
    <row r="738" s="34" customFormat="1" spans="1:8">
      <c r="A738" s="50">
        <v>21106</v>
      </c>
      <c r="B738" s="251" t="s">
        <v>605</v>
      </c>
      <c r="C738" s="241">
        <f t="shared" ref="C738:H738" si="133">SUM(C739:C743)</f>
        <v>1</v>
      </c>
      <c r="D738" s="241">
        <f t="shared" si="133"/>
        <v>0</v>
      </c>
      <c r="E738" s="241">
        <f t="shared" si="133"/>
        <v>1</v>
      </c>
      <c r="F738" s="24">
        <f t="shared" si="127"/>
        <v>100</v>
      </c>
      <c r="G738" s="24">
        <f t="shared" si="128"/>
        <v>0</v>
      </c>
      <c r="H738" s="241">
        <f t="shared" si="133"/>
        <v>0</v>
      </c>
    </row>
    <row r="739" s="34" customFormat="1" spans="1:8">
      <c r="A739" s="50">
        <v>2110602</v>
      </c>
      <c r="B739" s="251" t="s">
        <v>606</v>
      </c>
      <c r="C739" s="243"/>
      <c r="D739" s="243"/>
      <c r="E739" s="243"/>
      <c r="F739" s="24">
        <f t="shared" si="127"/>
        <v>0</v>
      </c>
      <c r="G739" s="24">
        <f t="shared" si="128"/>
        <v>0</v>
      </c>
      <c r="H739" s="243"/>
    </row>
    <row r="740" s="34" customFormat="1" spans="1:8">
      <c r="A740" s="50">
        <v>2110603</v>
      </c>
      <c r="B740" s="251" t="s">
        <v>607</v>
      </c>
      <c r="C740" s="243"/>
      <c r="D740" s="243"/>
      <c r="E740" s="243"/>
      <c r="F740" s="24">
        <f t="shared" si="127"/>
        <v>0</v>
      </c>
      <c r="G740" s="24">
        <f t="shared" si="128"/>
        <v>0</v>
      </c>
      <c r="H740" s="243"/>
    </row>
    <row r="741" s="34" customFormat="1" spans="1:8">
      <c r="A741" s="50">
        <v>2110604</v>
      </c>
      <c r="B741" s="251" t="s">
        <v>608</v>
      </c>
      <c r="C741" s="243"/>
      <c r="D741" s="243"/>
      <c r="E741" s="243"/>
      <c r="F741" s="24">
        <f t="shared" si="127"/>
        <v>0</v>
      </c>
      <c r="G741" s="24">
        <f t="shared" si="128"/>
        <v>0</v>
      </c>
      <c r="H741" s="243"/>
    </row>
    <row r="742" s="34" customFormat="1" spans="1:8">
      <c r="A742" s="50">
        <v>2110605</v>
      </c>
      <c r="B742" s="251" t="s">
        <v>609</v>
      </c>
      <c r="C742" s="243"/>
      <c r="D742" s="243"/>
      <c r="E742" s="243"/>
      <c r="F742" s="24">
        <f t="shared" si="127"/>
        <v>0</v>
      </c>
      <c r="G742" s="24">
        <f t="shared" si="128"/>
        <v>0</v>
      </c>
      <c r="H742" s="243"/>
    </row>
    <row r="743" s="34" customFormat="1" spans="1:8">
      <c r="A743" s="50">
        <v>2110699</v>
      </c>
      <c r="B743" s="251" t="s">
        <v>610</v>
      </c>
      <c r="C743" s="243">
        <v>1</v>
      </c>
      <c r="D743" s="243"/>
      <c r="E743" s="243">
        <v>1</v>
      </c>
      <c r="F743" s="24">
        <f t="shared" si="127"/>
        <v>100</v>
      </c>
      <c r="G743" s="24">
        <f t="shared" si="128"/>
        <v>0</v>
      </c>
      <c r="H743" s="243"/>
    </row>
    <row r="744" s="34" customFormat="1" spans="1:8">
      <c r="A744" s="50">
        <v>21107</v>
      </c>
      <c r="B744" s="251" t="s">
        <v>611</v>
      </c>
      <c r="C744" s="241">
        <f t="shared" ref="C744:H744" si="134">SUM(C745:C746)</f>
        <v>0</v>
      </c>
      <c r="D744" s="241">
        <f t="shared" si="134"/>
        <v>0</v>
      </c>
      <c r="E744" s="241">
        <f t="shared" si="134"/>
        <v>0</v>
      </c>
      <c r="F744" s="24">
        <f t="shared" si="127"/>
        <v>0</v>
      </c>
      <c r="G744" s="24">
        <f t="shared" si="128"/>
        <v>0</v>
      </c>
      <c r="H744" s="241">
        <f t="shared" si="134"/>
        <v>0</v>
      </c>
    </row>
    <row r="745" s="34" customFormat="1" spans="1:8">
      <c r="A745" s="50">
        <v>2110704</v>
      </c>
      <c r="B745" s="251" t="s">
        <v>612</v>
      </c>
      <c r="C745" s="243"/>
      <c r="D745" s="243"/>
      <c r="E745" s="243"/>
      <c r="F745" s="24">
        <f t="shared" si="127"/>
        <v>0</v>
      </c>
      <c r="G745" s="24">
        <f t="shared" si="128"/>
        <v>0</v>
      </c>
      <c r="H745" s="243"/>
    </row>
    <row r="746" s="34" customFormat="1" spans="1:8">
      <c r="A746" s="50">
        <v>2110799</v>
      </c>
      <c r="B746" s="251" t="s">
        <v>613</v>
      </c>
      <c r="C746" s="243"/>
      <c r="D746" s="243"/>
      <c r="E746" s="243"/>
      <c r="F746" s="24">
        <f t="shared" si="127"/>
        <v>0</v>
      </c>
      <c r="G746" s="24">
        <f t="shared" si="128"/>
        <v>0</v>
      </c>
      <c r="H746" s="243"/>
    </row>
    <row r="747" s="34" customFormat="1" spans="1:8">
      <c r="A747" s="50">
        <v>21108</v>
      </c>
      <c r="B747" s="251" t="s">
        <v>614</v>
      </c>
      <c r="C747" s="241">
        <f t="shared" ref="C747:H747" si="135">SUM(C748:C749)</f>
        <v>0</v>
      </c>
      <c r="D747" s="241">
        <f t="shared" si="135"/>
        <v>0</v>
      </c>
      <c r="E747" s="241">
        <f t="shared" si="135"/>
        <v>0</v>
      </c>
      <c r="F747" s="24">
        <f t="shared" si="127"/>
        <v>0</v>
      </c>
      <c r="G747" s="24">
        <f t="shared" si="128"/>
        <v>0</v>
      </c>
      <c r="H747" s="241">
        <f t="shared" si="135"/>
        <v>0</v>
      </c>
    </row>
    <row r="748" s="34" customFormat="1" spans="1:8">
      <c r="A748" s="50">
        <v>2110804</v>
      </c>
      <c r="B748" s="251" t="s">
        <v>615</v>
      </c>
      <c r="C748" s="243"/>
      <c r="D748" s="243"/>
      <c r="E748" s="243"/>
      <c r="F748" s="24">
        <f t="shared" si="127"/>
        <v>0</v>
      </c>
      <c r="G748" s="24">
        <f t="shared" si="128"/>
        <v>0</v>
      </c>
      <c r="H748" s="243"/>
    </row>
    <row r="749" s="34" customFormat="1" spans="1:8">
      <c r="A749" s="50">
        <v>2110899</v>
      </c>
      <c r="B749" s="251" t="s">
        <v>616</v>
      </c>
      <c r="C749" s="243"/>
      <c r="D749" s="243"/>
      <c r="E749" s="243"/>
      <c r="F749" s="24">
        <f t="shared" si="127"/>
        <v>0</v>
      </c>
      <c r="G749" s="24">
        <f t="shared" si="128"/>
        <v>0</v>
      </c>
      <c r="H749" s="243"/>
    </row>
    <row r="750" s="34" customFormat="1" spans="1:8">
      <c r="A750" s="50">
        <v>21109</v>
      </c>
      <c r="B750" s="251" t="s">
        <v>617</v>
      </c>
      <c r="C750" s="243"/>
      <c r="D750" s="243"/>
      <c r="E750" s="243"/>
      <c r="F750" s="24">
        <f t="shared" si="127"/>
        <v>0</v>
      </c>
      <c r="G750" s="24">
        <f t="shared" si="128"/>
        <v>0</v>
      </c>
      <c r="H750" s="243"/>
    </row>
    <row r="751" s="34" customFormat="1" spans="1:8">
      <c r="A751" s="50">
        <v>21110</v>
      </c>
      <c r="B751" s="251" t="s">
        <v>618</v>
      </c>
      <c r="C751" s="243">
        <v>5</v>
      </c>
      <c r="D751" s="243">
        <v>81</v>
      </c>
      <c r="E751" s="243"/>
      <c r="F751" s="24">
        <f t="shared" si="127"/>
        <v>0</v>
      </c>
      <c r="G751" s="24">
        <f t="shared" si="128"/>
        <v>0</v>
      </c>
      <c r="H751" s="243"/>
    </row>
    <row r="752" s="34" customFormat="1" spans="1:8">
      <c r="A752" s="50">
        <v>21111</v>
      </c>
      <c r="B752" s="251" t="s">
        <v>619</v>
      </c>
      <c r="C752" s="241">
        <f t="shared" ref="C752:H752" si="136">SUM(C753:C757)</f>
        <v>1</v>
      </c>
      <c r="D752" s="241">
        <f t="shared" si="136"/>
        <v>0</v>
      </c>
      <c r="E752" s="241">
        <f t="shared" si="136"/>
        <v>0</v>
      </c>
      <c r="F752" s="24">
        <f t="shared" si="127"/>
        <v>0</v>
      </c>
      <c r="G752" s="24">
        <f t="shared" si="128"/>
        <v>0</v>
      </c>
      <c r="H752" s="241">
        <f t="shared" si="136"/>
        <v>0</v>
      </c>
    </row>
    <row r="753" s="34" customFormat="1" spans="1:8">
      <c r="A753" s="50">
        <v>2111101</v>
      </c>
      <c r="B753" s="251" t="s">
        <v>620</v>
      </c>
      <c r="C753" s="243"/>
      <c r="D753" s="243"/>
      <c r="E753" s="243"/>
      <c r="F753" s="24">
        <f t="shared" si="127"/>
        <v>0</v>
      </c>
      <c r="G753" s="24">
        <f t="shared" si="128"/>
        <v>0</v>
      </c>
      <c r="H753" s="243"/>
    </row>
    <row r="754" s="34" customFormat="1" spans="1:8">
      <c r="A754" s="50">
        <v>2111102</v>
      </c>
      <c r="B754" s="251" t="s">
        <v>621</v>
      </c>
      <c r="C754" s="243"/>
      <c r="D754" s="243"/>
      <c r="E754" s="243"/>
      <c r="F754" s="24">
        <f t="shared" si="127"/>
        <v>0</v>
      </c>
      <c r="G754" s="24">
        <f t="shared" si="128"/>
        <v>0</v>
      </c>
      <c r="H754" s="243"/>
    </row>
    <row r="755" s="34" customFormat="1" spans="1:8">
      <c r="A755" s="50">
        <v>2111103</v>
      </c>
      <c r="B755" s="251" t="s">
        <v>622</v>
      </c>
      <c r="C755" s="243"/>
      <c r="D755" s="243"/>
      <c r="E755" s="243"/>
      <c r="F755" s="24">
        <f t="shared" si="127"/>
        <v>0</v>
      </c>
      <c r="G755" s="24">
        <f t="shared" si="128"/>
        <v>0</v>
      </c>
      <c r="H755" s="243"/>
    </row>
    <row r="756" s="34" customFormat="1" spans="1:8">
      <c r="A756" s="50">
        <v>2111104</v>
      </c>
      <c r="B756" s="251" t="s">
        <v>623</v>
      </c>
      <c r="C756" s="243"/>
      <c r="D756" s="243"/>
      <c r="E756" s="243"/>
      <c r="F756" s="24">
        <f t="shared" si="127"/>
        <v>0</v>
      </c>
      <c r="G756" s="24">
        <f t="shared" si="128"/>
        <v>0</v>
      </c>
      <c r="H756" s="243"/>
    </row>
    <row r="757" s="34" customFormat="1" spans="1:8">
      <c r="A757" s="50">
        <v>2111199</v>
      </c>
      <c r="B757" s="251" t="s">
        <v>624</v>
      </c>
      <c r="C757" s="243">
        <v>1</v>
      </c>
      <c r="D757" s="243"/>
      <c r="E757" s="243"/>
      <c r="F757" s="24">
        <f t="shared" si="127"/>
        <v>0</v>
      </c>
      <c r="G757" s="24">
        <f t="shared" si="128"/>
        <v>0</v>
      </c>
      <c r="H757" s="243"/>
    </row>
    <row r="758" s="34" customFormat="1" spans="1:8">
      <c r="A758" s="50">
        <v>21112</v>
      </c>
      <c r="B758" s="251" t="s">
        <v>625</v>
      </c>
      <c r="C758" s="243"/>
      <c r="D758" s="243">
        <v>50</v>
      </c>
      <c r="E758" s="243"/>
      <c r="F758" s="24">
        <f t="shared" si="127"/>
        <v>0</v>
      </c>
      <c r="G758" s="24">
        <f t="shared" si="128"/>
        <v>0</v>
      </c>
      <c r="H758" s="243"/>
    </row>
    <row r="759" s="34" customFormat="1" spans="1:8">
      <c r="A759" s="50">
        <v>21113</v>
      </c>
      <c r="B759" s="251" t="s">
        <v>626</v>
      </c>
      <c r="C759" s="243"/>
      <c r="D759" s="243"/>
      <c r="E759" s="243"/>
      <c r="F759" s="24">
        <f t="shared" si="127"/>
        <v>0</v>
      </c>
      <c r="G759" s="24">
        <f t="shared" si="128"/>
        <v>0</v>
      </c>
      <c r="H759" s="243"/>
    </row>
    <row r="760" s="34" customFormat="1" spans="1:8">
      <c r="A760" s="50">
        <v>21114</v>
      </c>
      <c r="B760" s="251" t="s">
        <v>627</v>
      </c>
      <c r="C760" s="241">
        <f t="shared" ref="C760:H760" si="137">SUM(C761:C770)</f>
        <v>0</v>
      </c>
      <c r="D760" s="241">
        <f t="shared" si="137"/>
        <v>0</v>
      </c>
      <c r="E760" s="241">
        <f t="shared" si="137"/>
        <v>0</v>
      </c>
      <c r="F760" s="24">
        <f t="shared" si="127"/>
        <v>0</v>
      </c>
      <c r="G760" s="24">
        <f t="shared" si="128"/>
        <v>0</v>
      </c>
      <c r="H760" s="241">
        <f t="shared" si="137"/>
        <v>0</v>
      </c>
    </row>
    <row r="761" s="34" customFormat="1" spans="1:8">
      <c r="A761" s="50">
        <v>2111401</v>
      </c>
      <c r="B761" s="251" t="s">
        <v>68</v>
      </c>
      <c r="C761" s="243"/>
      <c r="D761" s="243"/>
      <c r="E761" s="243"/>
      <c r="F761" s="24">
        <f t="shared" si="127"/>
        <v>0</v>
      </c>
      <c r="G761" s="24">
        <f t="shared" si="128"/>
        <v>0</v>
      </c>
      <c r="H761" s="243"/>
    </row>
    <row r="762" s="34" customFormat="1" spans="1:8">
      <c r="A762" s="50">
        <v>2111402</v>
      </c>
      <c r="B762" s="251" t="s">
        <v>69</v>
      </c>
      <c r="C762" s="243"/>
      <c r="D762" s="243"/>
      <c r="E762" s="243"/>
      <c r="F762" s="24">
        <f t="shared" si="127"/>
        <v>0</v>
      </c>
      <c r="G762" s="24">
        <f t="shared" si="128"/>
        <v>0</v>
      </c>
      <c r="H762" s="243"/>
    </row>
    <row r="763" s="34" customFormat="1" spans="1:8">
      <c r="A763" s="50">
        <v>2111403</v>
      </c>
      <c r="B763" s="251" t="s">
        <v>70</v>
      </c>
      <c r="C763" s="243"/>
      <c r="D763" s="243"/>
      <c r="E763" s="243"/>
      <c r="F763" s="24">
        <f t="shared" si="127"/>
        <v>0</v>
      </c>
      <c r="G763" s="24">
        <f t="shared" si="128"/>
        <v>0</v>
      </c>
      <c r="H763" s="243"/>
    </row>
    <row r="764" s="34" customFormat="1" spans="1:8">
      <c r="A764" s="50">
        <v>2111406</v>
      </c>
      <c r="B764" s="251" t="s">
        <v>628</v>
      </c>
      <c r="C764" s="243"/>
      <c r="D764" s="243"/>
      <c r="E764" s="243"/>
      <c r="F764" s="24">
        <f t="shared" si="127"/>
        <v>0</v>
      </c>
      <c r="G764" s="24">
        <f t="shared" si="128"/>
        <v>0</v>
      </c>
      <c r="H764" s="243"/>
    </row>
    <row r="765" s="34" customFormat="1" spans="1:8">
      <c r="A765" s="50">
        <v>2111407</v>
      </c>
      <c r="B765" s="251" t="s">
        <v>629</v>
      </c>
      <c r="C765" s="243"/>
      <c r="D765" s="243"/>
      <c r="E765" s="243"/>
      <c r="F765" s="24">
        <f t="shared" si="127"/>
        <v>0</v>
      </c>
      <c r="G765" s="24">
        <f t="shared" si="128"/>
        <v>0</v>
      </c>
      <c r="H765" s="243"/>
    </row>
    <row r="766" s="34" customFormat="1" spans="1:8">
      <c r="A766" s="50">
        <v>2111408</v>
      </c>
      <c r="B766" s="251" t="s">
        <v>630</v>
      </c>
      <c r="C766" s="243"/>
      <c r="D766" s="243"/>
      <c r="E766" s="243"/>
      <c r="F766" s="24">
        <f t="shared" si="127"/>
        <v>0</v>
      </c>
      <c r="G766" s="24">
        <f t="shared" si="128"/>
        <v>0</v>
      </c>
      <c r="H766" s="243"/>
    </row>
    <row r="767" s="34" customFormat="1" spans="1:8">
      <c r="A767" s="50">
        <v>2111411</v>
      </c>
      <c r="B767" s="251" t="s">
        <v>109</v>
      </c>
      <c r="C767" s="243"/>
      <c r="D767" s="243"/>
      <c r="E767" s="243"/>
      <c r="F767" s="24">
        <f t="shared" si="127"/>
        <v>0</v>
      </c>
      <c r="G767" s="24">
        <f t="shared" si="128"/>
        <v>0</v>
      </c>
      <c r="H767" s="243"/>
    </row>
    <row r="768" s="34" customFormat="1" spans="1:8">
      <c r="A768" s="50">
        <v>2111413</v>
      </c>
      <c r="B768" s="251" t="s">
        <v>631</v>
      </c>
      <c r="C768" s="243"/>
      <c r="D768" s="243"/>
      <c r="E768" s="243"/>
      <c r="F768" s="24">
        <f t="shared" si="127"/>
        <v>0</v>
      </c>
      <c r="G768" s="24">
        <f t="shared" si="128"/>
        <v>0</v>
      </c>
      <c r="H768" s="243"/>
    </row>
    <row r="769" s="34" customFormat="1" spans="1:8">
      <c r="A769" s="50">
        <v>2111450</v>
      </c>
      <c r="B769" s="251" t="s">
        <v>77</v>
      </c>
      <c r="C769" s="243"/>
      <c r="D769" s="243"/>
      <c r="E769" s="243"/>
      <c r="F769" s="24">
        <f t="shared" si="127"/>
        <v>0</v>
      </c>
      <c r="G769" s="24">
        <f t="shared" si="128"/>
        <v>0</v>
      </c>
      <c r="H769" s="243"/>
    </row>
    <row r="770" s="34" customFormat="1" spans="1:8">
      <c r="A770" s="50">
        <v>2111499</v>
      </c>
      <c r="B770" s="251" t="s">
        <v>632</v>
      </c>
      <c r="C770" s="243"/>
      <c r="D770" s="243"/>
      <c r="E770" s="243"/>
      <c r="F770" s="24">
        <f t="shared" si="127"/>
        <v>0</v>
      </c>
      <c r="G770" s="24">
        <f t="shared" si="128"/>
        <v>0</v>
      </c>
      <c r="H770" s="243"/>
    </row>
    <row r="771" s="34" customFormat="1" spans="1:8">
      <c r="A771" s="50">
        <v>2119999</v>
      </c>
      <c r="B771" s="251" t="s">
        <v>633</v>
      </c>
      <c r="C771" s="243">
        <v>77</v>
      </c>
      <c r="D771" s="243">
        <v>90</v>
      </c>
      <c r="E771" s="243">
        <v>18</v>
      </c>
      <c r="F771" s="24">
        <f t="shared" si="127"/>
        <v>23.3766233766234</v>
      </c>
      <c r="G771" s="24">
        <f t="shared" si="128"/>
        <v>20</v>
      </c>
      <c r="H771" s="243"/>
    </row>
    <row r="772" s="34" customFormat="1" spans="1:8">
      <c r="A772" s="50">
        <v>212</v>
      </c>
      <c r="B772" s="251" t="s">
        <v>634</v>
      </c>
      <c r="C772" s="241">
        <f t="shared" ref="C772:H772" si="138">SUM(C773,C784,C785,C788,C789,C790)</f>
        <v>2886</v>
      </c>
      <c r="D772" s="241">
        <f t="shared" si="138"/>
        <v>14578</v>
      </c>
      <c r="E772" s="241">
        <f t="shared" si="138"/>
        <v>4497</v>
      </c>
      <c r="F772" s="24">
        <f t="shared" si="127"/>
        <v>155.821205821206</v>
      </c>
      <c r="G772" s="24">
        <f t="shared" si="128"/>
        <v>30.8478529290712</v>
      </c>
      <c r="H772" s="241">
        <f t="shared" si="138"/>
        <v>0</v>
      </c>
    </row>
    <row r="773" s="34" customFormat="1" spans="1:8">
      <c r="A773" s="50">
        <v>21201</v>
      </c>
      <c r="B773" s="251" t="s">
        <v>635</v>
      </c>
      <c r="C773" s="241">
        <f t="shared" ref="C773:H773" si="139">SUM(C774:C783)</f>
        <v>939</v>
      </c>
      <c r="D773" s="241">
        <f t="shared" si="139"/>
        <v>1048</v>
      </c>
      <c r="E773" s="241">
        <f t="shared" si="139"/>
        <v>1214</v>
      </c>
      <c r="F773" s="24">
        <f t="shared" si="127"/>
        <v>129.286474973376</v>
      </c>
      <c r="G773" s="24">
        <f t="shared" si="128"/>
        <v>115.839694656489</v>
      </c>
      <c r="H773" s="241">
        <f t="shared" si="139"/>
        <v>0</v>
      </c>
    </row>
    <row r="774" s="34" customFormat="1" spans="1:8">
      <c r="A774" s="50">
        <v>2120101</v>
      </c>
      <c r="B774" s="251" t="s">
        <v>68</v>
      </c>
      <c r="C774" s="243">
        <v>477</v>
      </c>
      <c r="D774" s="243">
        <v>489</v>
      </c>
      <c r="E774" s="243">
        <f>573+186</f>
        <v>759</v>
      </c>
      <c r="F774" s="24">
        <f t="shared" ref="F774:F837" si="140">IF(C774&gt;0,E774/C774*100,)</f>
        <v>159.119496855346</v>
      </c>
      <c r="G774" s="24">
        <f t="shared" ref="G774:G837" si="141">IF(D774&gt;0,E774/D774*100,)</f>
        <v>155.21472392638</v>
      </c>
      <c r="H774" s="243"/>
    </row>
    <row r="775" s="34" customFormat="1" spans="1:8">
      <c r="A775" s="50">
        <v>2120102</v>
      </c>
      <c r="B775" s="251" t="s">
        <v>69</v>
      </c>
      <c r="C775" s="243">
        <v>138</v>
      </c>
      <c r="D775" s="243">
        <v>181</v>
      </c>
      <c r="E775" s="243">
        <v>393</v>
      </c>
      <c r="F775" s="24">
        <f t="shared" si="140"/>
        <v>284.782608695652</v>
      </c>
      <c r="G775" s="24">
        <f t="shared" si="141"/>
        <v>217.127071823204</v>
      </c>
      <c r="H775" s="243"/>
    </row>
    <row r="776" s="34" customFormat="1" spans="1:8">
      <c r="A776" s="50">
        <v>2120103</v>
      </c>
      <c r="B776" s="251" t="s">
        <v>70</v>
      </c>
      <c r="C776" s="243">
        <v>0</v>
      </c>
      <c r="D776" s="243">
        <v>0</v>
      </c>
      <c r="E776" s="243"/>
      <c r="F776" s="24">
        <f t="shared" si="140"/>
        <v>0</v>
      </c>
      <c r="G776" s="24">
        <f t="shared" si="141"/>
        <v>0</v>
      </c>
      <c r="H776" s="243"/>
    </row>
    <row r="777" s="34" customFormat="1" spans="1:8">
      <c r="A777" s="50">
        <v>2120104</v>
      </c>
      <c r="B777" s="251" t="s">
        <v>636</v>
      </c>
      <c r="C777" s="243">
        <v>168</v>
      </c>
      <c r="D777" s="243">
        <v>200</v>
      </c>
      <c r="E777" s="243">
        <v>18</v>
      </c>
      <c r="F777" s="24">
        <f t="shared" si="140"/>
        <v>10.7142857142857</v>
      </c>
      <c r="G777" s="24">
        <f t="shared" si="141"/>
        <v>9</v>
      </c>
      <c r="H777" s="243"/>
    </row>
    <row r="778" s="34" customFormat="1" spans="1:8">
      <c r="A778" s="50">
        <v>2120105</v>
      </c>
      <c r="B778" s="251" t="s">
        <v>637</v>
      </c>
      <c r="C778" s="243">
        <v>0</v>
      </c>
      <c r="D778" s="243">
        <v>0</v>
      </c>
      <c r="E778" s="243"/>
      <c r="F778" s="24">
        <f t="shared" si="140"/>
        <v>0</v>
      </c>
      <c r="G778" s="24">
        <f t="shared" si="141"/>
        <v>0</v>
      </c>
      <c r="H778" s="243"/>
    </row>
    <row r="779" s="34" customFormat="1" spans="1:8">
      <c r="A779" s="50">
        <v>2120106</v>
      </c>
      <c r="B779" s="251" t="s">
        <v>638</v>
      </c>
      <c r="C779" s="243">
        <v>0</v>
      </c>
      <c r="D779" s="243">
        <v>0</v>
      </c>
      <c r="E779" s="243"/>
      <c r="F779" s="24">
        <f t="shared" si="140"/>
        <v>0</v>
      </c>
      <c r="G779" s="24">
        <f t="shared" si="141"/>
        <v>0</v>
      </c>
      <c r="H779" s="243"/>
    </row>
    <row r="780" s="34" customFormat="1" spans="1:8">
      <c r="A780" s="50">
        <v>2120107</v>
      </c>
      <c r="B780" s="251" t="s">
        <v>639</v>
      </c>
      <c r="C780" s="243">
        <v>4</v>
      </c>
      <c r="D780" s="243">
        <v>4</v>
      </c>
      <c r="E780" s="243"/>
      <c r="F780" s="24">
        <f t="shared" si="140"/>
        <v>0</v>
      </c>
      <c r="G780" s="24">
        <f t="shared" si="141"/>
        <v>0</v>
      </c>
      <c r="H780" s="243"/>
    </row>
    <row r="781" s="34" customFormat="1" spans="1:8">
      <c r="A781" s="50">
        <v>2120109</v>
      </c>
      <c r="B781" s="251" t="s">
        <v>640</v>
      </c>
      <c r="C781" s="243">
        <v>0</v>
      </c>
      <c r="D781" s="243">
        <v>0</v>
      </c>
      <c r="E781" s="243"/>
      <c r="F781" s="24">
        <f t="shared" si="140"/>
        <v>0</v>
      </c>
      <c r="G781" s="24">
        <f t="shared" si="141"/>
        <v>0</v>
      </c>
      <c r="H781" s="243"/>
    </row>
    <row r="782" s="34" customFormat="1" spans="1:8">
      <c r="A782" s="50">
        <v>2120110</v>
      </c>
      <c r="B782" s="251" t="s">
        <v>641</v>
      </c>
      <c r="C782" s="243">
        <v>0</v>
      </c>
      <c r="D782" s="243">
        <v>0</v>
      </c>
      <c r="E782" s="243"/>
      <c r="F782" s="24">
        <f t="shared" si="140"/>
        <v>0</v>
      </c>
      <c r="G782" s="24">
        <f t="shared" si="141"/>
        <v>0</v>
      </c>
      <c r="H782" s="243"/>
    </row>
    <row r="783" s="34" customFormat="1" spans="1:8">
      <c r="A783" s="50">
        <v>2120199</v>
      </c>
      <c r="B783" s="251" t="s">
        <v>642</v>
      </c>
      <c r="C783" s="243">
        <v>152</v>
      </c>
      <c r="D783" s="243">
        <v>174</v>
      </c>
      <c r="E783" s="243">
        <v>44</v>
      </c>
      <c r="F783" s="24">
        <f t="shared" si="140"/>
        <v>28.9473684210526</v>
      </c>
      <c r="G783" s="24">
        <f t="shared" si="141"/>
        <v>25.2873563218391</v>
      </c>
      <c r="H783" s="243"/>
    </row>
    <row r="784" s="34" customFormat="1" spans="1:8">
      <c r="A784" s="50">
        <v>21202</v>
      </c>
      <c r="B784" s="251" t="s">
        <v>643</v>
      </c>
      <c r="C784" s="243">
        <v>0</v>
      </c>
      <c r="D784" s="243"/>
      <c r="E784" s="243"/>
      <c r="F784" s="24">
        <f t="shared" si="140"/>
        <v>0</v>
      </c>
      <c r="G784" s="24">
        <f t="shared" si="141"/>
        <v>0</v>
      </c>
      <c r="H784" s="243"/>
    </row>
    <row r="785" s="34" customFormat="1" spans="1:8">
      <c r="A785" s="50">
        <v>21203</v>
      </c>
      <c r="B785" s="251" t="s">
        <v>644</v>
      </c>
      <c r="C785" s="241">
        <f t="shared" ref="C785:H785" si="142">SUM(C786:C787)</f>
        <v>1245</v>
      </c>
      <c r="D785" s="241">
        <f t="shared" si="142"/>
        <v>11373</v>
      </c>
      <c r="E785" s="241">
        <f t="shared" si="142"/>
        <v>2600</v>
      </c>
      <c r="F785" s="24">
        <f t="shared" si="140"/>
        <v>208.835341365462</v>
      </c>
      <c r="G785" s="24">
        <f t="shared" si="141"/>
        <v>22.8611624021806</v>
      </c>
      <c r="H785" s="241">
        <f t="shared" si="142"/>
        <v>0</v>
      </c>
    </row>
    <row r="786" s="34" customFormat="1" spans="1:8">
      <c r="A786" s="50">
        <v>2120303</v>
      </c>
      <c r="B786" s="251" t="s">
        <v>645</v>
      </c>
      <c r="C786" s="243">
        <v>1172</v>
      </c>
      <c r="D786" s="243">
        <v>8732</v>
      </c>
      <c r="E786" s="243">
        <v>13</v>
      </c>
      <c r="F786" s="24">
        <f t="shared" si="140"/>
        <v>1.10921501706485</v>
      </c>
      <c r="G786" s="24">
        <f t="shared" si="141"/>
        <v>0.148877691250573</v>
      </c>
      <c r="H786" s="243"/>
    </row>
    <row r="787" s="34" customFormat="1" spans="1:8">
      <c r="A787" s="50">
        <v>2120399</v>
      </c>
      <c r="B787" s="251" t="s">
        <v>646</v>
      </c>
      <c r="C787" s="243">
        <v>73</v>
      </c>
      <c r="D787" s="243">
        <v>2641</v>
      </c>
      <c r="E787" s="243">
        <f>1339+1248</f>
        <v>2587</v>
      </c>
      <c r="F787" s="24">
        <f t="shared" si="140"/>
        <v>3543.83561643836</v>
      </c>
      <c r="G787" s="24">
        <f t="shared" si="141"/>
        <v>97.9553199545627</v>
      </c>
      <c r="H787" s="243"/>
    </row>
    <row r="788" s="34" customFormat="1" spans="1:8">
      <c r="A788" s="50">
        <v>21205</v>
      </c>
      <c r="B788" s="251" t="s">
        <v>647</v>
      </c>
      <c r="C788" s="243">
        <v>172</v>
      </c>
      <c r="D788" s="243">
        <v>1339</v>
      </c>
      <c r="E788" s="243">
        <f>232+327</f>
        <v>559</v>
      </c>
      <c r="F788" s="24">
        <f t="shared" si="140"/>
        <v>325</v>
      </c>
      <c r="G788" s="24">
        <f t="shared" si="141"/>
        <v>41.747572815534</v>
      </c>
      <c r="H788" s="243"/>
    </row>
    <row r="789" s="34" customFormat="1" spans="1:8">
      <c r="A789" s="50">
        <v>21206</v>
      </c>
      <c r="B789" s="251" t="s">
        <v>648</v>
      </c>
      <c r="C789" s="243">
        <v>0</v>
      </c>
      <c r="D789" s="243"/>
      <c r="E789" s="243"/>
      <c r="F789" s="24">
        <f t="shared" si="140"/>
        <v>0</v>
      </c>
      <c r="G789" s="24">
        <f t="shared" si="141"/>
        <v>0</v>
      </c>
      <c r="H789" s="243"/>
    </row>
    <row r="790" s="34" customFormat="1" spans="1:8">
      <c r="A790" s="50">
        <v>21299</v>
      </c>
      <c r="B790" s="251" t="s">
        <v>649</v>
      </c>
      <c r="C790" s="243">
        <v>530</v>
      </c>
      <c r="D790" s="243">
        <v>818</v>
      </c>
      <c r="E790" s="243">
        <v>124</v>
      </c>
      <c r="F790" s="24">
        <f t="shared" si="140"/>
        <v>23.3962264150943</v>
      </c>
      <c r="G790" s="24">
        <f t="shared" si="141"/>
        <v>15.158924205379</v>
      </c>
      <c r="H790" s="243"/>
    </row>
    <row r="791" s="34" customFormat="1" spans="1:8">
      <c r="A791" s="50">
        <v>213</v>
      </c>
      <c r="B791" s="251" t="s">
        <v>650</v>
      </c>
      <c r="C791" s="241">
        <f t="shared" ref="C791:H791" si="143">SUM(C792,C818,C840,C868,C879,C886,C892,C895)</f>
        <v>30899</v>
      </c>
      <c r="D791" s="241">
        <f t="shared" si="143"/>
        <v>44549</v>
      </c>
      <c r="E791" s="241">
        <f t="shared" si="143"/>
        <v>42819</v>
      </c>
      <c r="F791" s="24">
        <f t="shared" si="140"/>
        <v>138.577300236254</v>
      </c>
      <c r="G791" s="24">
        <f t="shared" si="141"/>
        <v>96.1166356147164</v>
      </c>
      <c r="H791" s="241">
        <f t="shared" si="143"/>
        <v>0</v>
      </c>
    </row>
    <row r="792" s="34" customFormat="1" spans="1:8">
      <c r="A792" s="50">
        <v>21301</v>
      </c>
      <c r="B792" s="251" t="s">
        <v>651</v>
      </c>
      <c r="C792" s="241">
        <f t="shared" ref="C792:H792" si="144">SUM(C793:C817)</f>
        <v>6639</v>
      </c>
      <c r="D792" s="241">
        <f t="shared" si="144"/>
        <v>6034</v>
      </c>
      <c r="E792" s="241">
        <f t="shared" si="144"/>
        <v>9160</v>
      </c>
      <c r="F792" s="24">
        <f t="shared" si="140"/>
        <v>137.972586232866</v>
      </c>
      <c r="G792" s="24">
        <f t="shared" si="141"/>
        <v>151.806430228704</v>
      </c>
      <c r="H792" s="241">
        <f t="shared" si="144"/>
        <v>0</v>
      </c>
    </row>
    <row r="793" s="34" customFormat="1" spans="1:8">
      <c r="A793" s="50">
        <v>2130101</v>
      </c>
      <c r="B793" s="251" t="s">
        <v>68</v>
      </c>
      <c r="C793" s="243">
        <v>1540</v>
      </c>
      <c r="D793" s="243">
        <v>1399</v>
      </c>
      <c r="E793" s="243">
        <f>1199+1+1351</f>
        <v>2551</v>
      </c>
      <c r="F793" s="24">
        <f t="shared" si="140"/>
        <v>165.649350649351</v>
      </c>
      <c r="G793" s="24">
        <f t="shared" si="141"/>
        <v>182.344531808435</v>
      </c>
      <c r="H793" s="243"/>
    </row>
    <row r="794" s="34" customFormat="1" spans="1:8">
      <c r="A794" s="50">
        <v>2130102</v>
      </c>
      <c r="B794" s="251" t="s">
        <v>69</v>
      </c>
      <c r="C794" s="243">
        <v>151</v>
      </c>
      <c r="D794" s="243">
        <v>141</v>
      </c>
      <c r="E794" s="243">
        <v>349</v>
      </c>
      <c r="F794" s="24">
        <f t="shared" si="140"/>
        <v>231.12582781457</v>
      </c>
      <c r="G794" s="24">
        <f t="shared" si="141"/>
        <v>247.517730496454</v>
      </c>
      <c r="H794" s="243"/>
    </row>
    <row r="795" s="34" customFormat="1" spans="1:8">
      <c r="A795" s="50">
        <v>2130103</v>
      </c>
      <c r="B795" s="251" t="s">
        <v>70</v>
      </c>
      <c r="C795" s="243">
        <v>0</v>
      </c>
      <c r="D795" s="243">
        <v>0</v>
      </c>
      <c r="E795" s="243"/>
      <c r="F795" s="24">
        <f t="shared" si="140"/>
        <v>0</v>
      </c>
      <c r="G795" s="24">
        <f t="shared" si="141"/>
        <v>0</v>
      </c>
      <c r="H795" s="243"/>
    </row>
    <row r="796" s="34" customFormat="1" spans="1:8">
      <c r="A796" s="50">
        <v>2130104</v>
      </c>
      <c r="B796" s="251" t="s">
        <v>77</v>
      </c>
      <c r="C796" s="243">
        <v>0</v>
      </c>
      <c r="D796" s="243">
        <v>10</v>
      </c>
      <c r="E796" s="243">
        <v>410</v>
      </c>
      <c r="F796" s="24">
        <f t="shared" si="140"/>
        <v>0</v>
      </c>
      <c r="G796" s="24">
        <f t="shared" si="141"/>
        <v>4100</v>
      </c>
      <c r="H796" s="243"/>
    </row>
    <row r="797" s="34" customFormat="1" spans="1:8">
      <c r="A797" s="50">
        <v>2130105</v>
      </c>
      <c r="B797" s="251" t="s">
        <v>652</v>
      </c>
      <c r="C797" s="243">
        <v>0</v>
      </c>
      <c r="D797" s="243">
        <v>0</v>
      </c>
      <c r="E797" s="243"/>
      <c r="F797" s="24">
        <f t="shared" si="140"/>
        <v>0</v>
      </c>
      <c r="G797" s="24">
        <f t="shared" si="141"/>
        <v>0</v>
      </c>
      <c r="H797" s="243"/>
    </row>
    <row r="798" s="34" customFormat="1" spans="1:8">
      <c r="A798" s="50">
        <v>2130106</v>
      </c>
      <c r="B798" s="251" t="s">
        <v>653</v>
      </c>
      <c r="C798" s="243">
        <v>362</v>
      </c>
      <c r="D798" s="243">
        <v>271</v>
      </c>
      <c r="E798" s="243">
        <f>959+61</f>
        <v>1020</v>
      </c>
      <c r="F798" s="24">
        <f t="shared" si="140"/>
        <v>281.767955801105</v>
      </c>
      <c r="G798" s="24">
        <f t="shared" si="141"/>
        <v>376.383763837638</v>
      </c>
      <c r="H798" s="243"/>
    </row>
    <row r="799" s="34" customFormat="1" spans="1:8">
      <c r="A799" s="50">
        <v>2130108</v>
      </c>
      <c r="B799" s="251" t="s">
        <v>654</v>
      </c>
      <c r="C799" s="243">
        <v>197</v>
      </c>
      <c r="D799" s="243">
        <v>308</v>
      </c>
      <c r="E799" s="243">
        <f>89+18</f>
        <v>107</v>
      </c>
      <c r="F799" s="24">
        <f t="shared" si="140"/>
        <v>54.3147208121827</v>
      </c>
      <c r="G799" s="24">
        <f t="shared" si="141"/>
        <v>34.7402597402597</v>
      </c>
      <c r="H799" s="243"/>
    </row>
    <row r="800" s="34" customFormat="1" spans="1:8">
      <c r="A800" s="50">
        <v>2130109</v>
      </c>
      <c r="B800" s="251" t="s">
        <v>655</v>
      </c>
      <c r="C800" s="243">
        <v>4</v>
      </c>
      <c r="D800" s="243">
        <v>3</v>
      </c>
      <c r="E800" s="243">
        <f>2+1</f>
        <v>3</v>
      </c>
      <c r="F800" s="24">
        <f t="shared" si="140"/>
        <v>75</v>
      </c>
      <c r="G800" s="24">
        <f t="shared" si="141"/>
        <v>100</v>
      </c>
      <c r="H800" s="243"/>
    </row>
    <row r="801" s="34" customFormat="1" spans="1:8">
      <c r="A801" s="50">
        <v>2130110</v>
      </c>
      <c r="B801" s="251" t="s">
        <v>656</v>
      </c>
      <c r="C801" s="243">
        <v>14</v>
      </c>
      <c r="D801" s="243">
        <v>14</v>
      </c>
      <c r="E801" s="243">
        <v>13</v>
      </c>
      <c r="F801" s="24">
        <f t="shared" si="140"/>
        <v>92.8571428571429</v>
      </c>
      <c r="G801" s="24">
        <f t="shared" si="141"/>
        <v>92.8571428571429</v>
      </c>
      <c r="H801" s="243"/>
    </row>
    <row r="802" s="34" customFormat="1" spans="1:8">
      <c r="A802" s="50">
        <v>2130111</v>
      </c>
      <c r="B802" s="251" t="s">
        <v>657</v>
      </c>
      <c r="C802" s="243">
        <v>1</v>
      </c>
      <c r="D802" s="243">
        <v>1</v>
      </c>
      <c r="E802" s="243"/>
      <c r="F802" s="24">
        <f t="shared" si="140"/>
        <v>0</v>
      </c>
      <c r="G802" s="24">
        <f t="shared" si="141"/>
        <v>0</v>
      </c>
      <c r="H802" s="243"/>
    </row>
    <row r="803" s="34" customFormat="1" spans="1:8">
      <c r="A803" s="50">
        <v>2130112</v>
      </c>
      <c r="B803" s="251" t="s">
        <v>658</v>
      </c>
      <c r="C803" s="243">
        <v>12</v>
      </c>
      <c r="D803" s="243">
        <v>12</v>
      </c>
      <c r="E803" s="243"/>
      <c r="F803" s="24">
        <f t="shared" si="140"/>
        <v>0</v>
      </c>
      <c r="G803" s="24">
        <f t="shared" si="141"/>
        <v>0</v>
      </c>
      <c r="H803" s="243"/>
    </row>
    <row r="804" s="34" customFormat="1" spans="1:8">
      <c r="A804" s="50">
        <v>2130114</v>
      </c>
      <c r="B804" s="251" t="s">
        <v>659</v>
      </c>
      <c r="C804" s="243">
        <v>0</v>
      </c>
      <c r="D804" s="243">
        <v>0</v>
      </c>
      <c r="E804" s="243"/>
      <c r="F804" s="24">
        <f t="shared" si="140"/>
        <v>0</v>
      </c>
      <c r="G804" s="24">
        <f t="shared" si="141"/>
        <v>0</v>
      </c>
      <c r="H804" s="243"/>
    </row>
    <row r="805" s="34" customFormat="1" spans="1:8">
      <c r="A805" s="50">
        <v>2130119</v>
      </c>
      <c r="B805" s="251" t="s">
        <v>660</v>
      </c>
      <c r="C805" s="243">
        <v>0</v>
      </c>
      <c r="D805" s="243">
        <v>0</v>
      </c>
      <c r="E805" s="243"/>
      <c r="F805" s="24">
        <f t="shared" si="140"/>
        <v>0</v>
      </c>
      <c r="G805" s="24">
        <f t="shared" si="141"/>
        <v>0</v>
      </c>
      <c r="H805" s="243"/>
    </row>
    <row r="806" s="34" customFormat="1" spans="1:8">
      <c r="A806" s="50">
        <v>2130120</v>
      </c>
      <c r="B806" s="251" t="s">
        <v>661</v>
      </c>
      <c r="C806" s="243">
        <v>1</v>
      </c>
      <c r="D806" s="243">
        <v>0</v>
      </c>
      <c r="E806" s="243"/>
      <c r="F806" s="24">
        <f t="shared" si="140"/>
        <v>0</v>
      </c>
      <c r="G806" s="24">
        <f t="shared" si="141"/>
        <v>0</v>
      </c>
      <c r="H806" s="243"/>
    </row>
    <row r="807" s="34" customFormat="1" spans="1:8">
      <c r="A807" s="50">
        <v>2130121</v>
      </c>
      <c r="B807" s="251" t="s">
        <v>662</v>
      </c>
      <c r="C807" s="243">
        <v>0</v>
      </c>
      <c r="D807" s="243">
        <v>0</v>
      </c>
      <c r="E807" s="243"/>
      <c r="F807" s="24">
        <f t="shared" si="140"/>
        <v>0</v>
      </c>
      <c r="G807" s="24">
        <f t="shared" si="141"/>
        <v>0</v>
      </c>
      <c r="H807" s="243"/>
    </row>
    <row r="808" s="34" customFormat="1" spans="1:8">
      <c r="A808" s="50">
        <v>2130122</v>
      </c>
      <c r="B808" s="251" t="s">
        <v>663</v>
      </c>
      <c r="C808" s="243">
        <v>1522</v>
      </c>
      <c r="D808" s="243">
        <v>1488</v>
      </c>
      <c r="E808" s="243">
        <v>316</v>
      </c>
      <c r="F808" s="24">
        <f t="shared" si="140"/>
        <v>20.7621550591327</v>
      </c>
      <c r="G808" s="24">
        <f t="shared" si="141"/>
        <v>21.2365591397849</v>
      </c>
      <c r="H808" s="243"/>
    </row>
    <row r="809" s="34" customFormat="1" spans="1:8">
      <c r="A809" s="50">
        <v>2130124</v>
      </c>
      <c r="B809" s="251" t="s">
        <v>664</v>
      </c>
      <c r="C809" s="243">
        <v>208</v>
      </c>
      <c r="D809" s="243">
        <v>144</v>
      </c>
      <c r="E809" s="243">
        <v>64</v>
      </c>
      <c r="F809" s="24">
        <f t="shared" si="140"/>
        <v>30.7692307692308</v>
      </c>
      <c r="G809" s="24">
        <f t="shared" si="141"/>
        <v>44.4444444444444</v>
      </c>
      <c r="H809" s="243"/>
    </row>
    <row r="810" s="34" customFormat="1" spans="1:8">
      <c r="A810" s="50">
        <v>2130125</v>
      </c>
      <c r="B810" s="251" t="s">
        <v>665</v>
      </c>
      <c r="C810" s="243">
        <v>0</v>
      </c>
      <c r="D810" s="243">
        <v>0</v>
      </c>
      <c r="E810" s="243"/>
      <c r="F810" s="24">
        <f t="shared" si="140"/>
        <v>0</v>
      </c>
      <c r="G810" s="24">
        <f t="shared" si="141"/>
        <v>0</v>
      </c>
      <c r="H810" s="243"/>
    </row>
    <row r="811" s="34" customFormat="1" spans="1:8">
      <c r="A811" s="50">
        <v>2130126</v>
      </c>
      <c r="B811" s="251" t="s">
        <v>666</v>
      </c>
      <c r="C811" s="243">
        <v>987</v>
      </c>
      <c r="D811" s="243">
        <v>35</v>
      </c>
      <c r="E811" s="243">
        <v>6</v>
      </c>
      <c r="F811" s="24">
        <f t="shared" si="140"/>
        <v>0.60790273556231</v>
      </c>
      <c r="G811" s="24">
        <f t="shared" si="141"/>
        <v>17.1428571428571</v>
      </c>
      <c r="H811" s="243"/>
    </row>
    <row r="812" s="34" customFormat="1" spans="1:8">
      <c r="A812" s="50">
        <v>2130135</v>
      </c>
      <c r="B812" s="251" t="s">
        <v>667</v>
      </c>
      <c r="C812" s="243">
        <v>298</v>
      </c>
      <c r="D812" s="243">
        <v>258</v>
      </c>
      <c r="E812" s="243">
        <v>434</v>
      </c>
      <c r="F812" s="24">
        <f t="shared" si="140"/>
        <v>145.637583892617</v>
      </c>
      <c r="G812" s="24">
        <f t="shared" si="141"/>
        <v>168.217054263566</v>
      </c>
      <c r="H812" s="243"/>
    </row>
    <row r="813" s="34" customFormat="1" spans="1:8">
      <c r="A813" s="50">
        <v>2130142</v>
      </c>
      <c r="B813" s="251" t="s">
        <v>668</v>
      </c>
      <c r="C813" s="243">
        <v>0</v>
      </c>
      <c r="D813" s="243">
        <v>20</v>
      </c>
      <c r="E813" s="243"/>
      <c r="F813" s="24">
        <f t="shared" si="140"/>
        <v>0</v>
      </c>
      <c r="G813" s="24">
        <f t="shared" si="141"/>
        <v>0</v>
      </c>
      <c r="H813" s="243"/>
    </row>
    <row r="814" s="34" customFormat="1" spans="1:8">
      <c r="A814" s="50">
        <v>2130148</v>
      </c>
      <c r="B814" s="251" t="s">
        <v>669</v>
      </c>
      <c r="C814" s="243">
        <v>0</v>
      </c>
      <c r="D814" s="243">
        <v>0</v>
      </c>
      <c r="E814" s="243"/>
      <c r="F814" s="24">
        <f t="shared" si="140"/>
        <v>0</v>
      </c>
      <c r="G814" s="24">
        <f t="shared" si="141"/>
        <v>0</v>
      </c>
      <c r="H814" s="243"/>
    </row>
    <row r="815" s="34" customFormat="1" spans="1:8">
      <c r="A815" s="50">
        <v>2130152</v>
      </c>
      <c r="B815" s="251" t="s">
        <v>670</v>
      </c>
      <c r="C815" s="243">
        <v>9</v>
      </c>
      <c r="D815" s="243">
        <v>10</v>
      </c>
      <c r="E815" s="243">
        <v>14</v>
      </c>
      <c r="F815" s="24">
        <f t="shared" si="140"/>
        <v>155.555555555556</v>
      </c>
      <c r="G815" s="24">
        <f t="shared" si="141"/>
        <v>140</v>
      </c>
      <c r="H815" s="243"/>
    </row>
    <row r="816" s="34" customFormat="1" spans="1:8">
      <c r="A816" s="50">
        <v>2130153</v>
      </c>
      <c r="B816" s="251" t="s">
        <v>671</v>
      </c>
      <c r="C816" s="243">
        <v>1140</v>
      </c>
      <c r="D816" s="243">
        <v>1388</v>
      </c>
      <c r="E816" s="243">
        <f>1770+672+108</f>
        <v>2550</v>
      </c>
      <c r="F816" s="24">
        <f t="shared" si="140"/>
        <v>223.684210526316</v>
      </c>
      <c r="G816" s="24">
        <f t="shared" si="141"/>
        <v>183.71757925072</v>
      </c>
      <c r="H816" s="243"/>
    </row>
    <row r="817" s="34" customFormat="1" spans="1:8">
      <c r="A817" s="50">
        <v>2130199</v>
      </c>
      <c r="B817" s="251" t="s">
        <v>672</v>
      </c>
      <c r="C817" s="243">
        <v>193</v>
      </c>
      <c r="D817" s="243">
        <v>532</v>
      </c>
      <c r="E817" s="243">
        <f>10+1313</f>
        <v>1323</v>
      </c>
      <c r="F817" s="24">
        <f t="shared" si="140"/>
        <v>685.492227979275</v>
      </c>
      <c r="G817" s="24">
        <f t="shared" si="141"/>
        <v>248.684210526316</v>
      </c>
      <c r="H817" s="243"/>
    </row>
    <row r="818" s="34" customFormat="1" spans="1:8">
      <c r="A818" s="50">
        <v>21302</v>
      </c>
      <c r="B818" s="251" t="s">
        <v>673</v>
      </c>
      <c r="C818" s="241">
        <f t="shared" ref="C818:H818" si="145">SUM(C819:C839)</f>
        <v>5595</v>
      </c>
      <c r="D818" s="241">
        <f t="shared" si="145"/>
        <v>4126</v>
      </c>
      <c r="E818" s="241">
        <f t="shared" si="145"/>
        <v>5959</v>
      </c>
      <c r="F818" s="24">
        <f t="shared" si="140"/>
        <v>106.505808757819</v>
      </c>
      <c r="G818" s="24">
        <f t="shared" si="141"/>
        <v>144.425593795444</v>
      </c>
      <c r="H818" s="241">
        <f t="shared" si="145"/>
        <v>0</v>
      </c>
    </row>
    <row r="819" s="34" customFormat="1" spans="1:8">
      <c r="A819" s="50">
        <v>2130201</v>
      </c>
      <c r="B819" s="251" t="s">
        <v>68</v>
      </c>
      <c r="C819" s="243">
        <v>1397</v>
      </c>
      <c r="D819" s="243">
        <v>1125</v>
      </c>
      <c r="E819" s="243">
        <f>1204+1</f>
        <v>1205</v>
      </c>
      <c r="F819" s="24">
        <f t="shared" si="140"/>
        <v>86.2562634216177</v>
      </c>
      <c r="G819" s="24">
        <f t="shared" si="141"/>
        <v>107.111111111111</v>
      </c>
      <c r="H819" s="243"/>
    </row>
    <row r="820" s="34" customFormat="1" spans="1:8">
      <c r="A820" s="50">
        <v>2130202</v>
      </c>
      <c r="B820" s="251" t="s">
        <v>69</v>
      </c>
      <c r="C820" s="243">
        <v>85</v>
      </c>
      <c r="D820" s="243">
        <v>83</v>
      </c>
      <c r="E820" s="243">
        <v>340</v>
      </c>
      <c r="F820" s="24">
        <f t="shared" si="140"/>
        <v>400</v>
      </c>
      <c r="G820" s="24">
        <f t="shared" si="141"/>
        <v>409.638554216867</v>
      </c>
      <c r="H820" s="243"/>
    </row>
    <row r="821" s="34" customFormat="1" spans="1:8">
      <c r="A821" s="50">
        <v>2130203</v>
      </c>
      <c r="B821" s="251" t="s">
        <v>70</v>
      </c>
      <c r="C821" s="243"/>
      <c r="D821" s="243"/>
      <c r="E821" s="243"/>
      <c r="F821" s="24">
        <f t="shared" si="140"/>
        <v>0</v>
      </c>
      <c r="G821" s="24">
        <f t="shared" si="141"/>
        <v>0</v>
      </c>
      <c r="H821" s="243"/>
    </row>
    <row r="822" s="34" customFormat="1" spans="1:8">
      <c r="A822" s="50">
        <v>2130204</v>
      </c>
      <c r="B822" s="251" t="s">
        <v>674</v>
      </c>
      <c r="C822" s="243"/>
      <c r="D822" s="243">
        <v>288</v>
      </c>
      <c r="E822" s="243">
        <v>407</v>
      </c>
      <c r="F822" s="24">
        <f t="shared" si="140"/>
        <v>0</v>
      </c>
      <c r="G822" s="24">
        <f t="shared" si="141"/>
        <v>141.319444444444</v>
      </c>
      <c r="H822" s="243"/>
    </row>
    <row r="823" s="34" customFormat="1" spans="1:8">
      <c r="A823" s="50">
        <v>2130205</v>
      </c>
      <c r="B823" s="251" t="s">
        <v>675</v>
      </c>
      <c r="C823" s="243">
        <v>1158</v>
      </c>
      <c r="D823" s="243">
        <v>434</v>
      </c>
      <c r="E823" s="243">
        <v>201</v>
      </c>
      <c r="F823" s="24">
        <f t="shared" si="140"/>
        <v>17.3575129533679</v>
      </c>
      <c r="G823" s="24">
        <f t="shared" si="141"/>
        <v>46.3133640552995</v>
      </c>
      <c r="H823" s="243"/>
    </row>
    <row r="824" s="34" customFormat="1" spans="1:8">
      <c r="A824" s="50">
        <v>2130206</v>
      </c>
      <c r="B824" s="251" t="s">
        <v>676</v>
      </c>
      <c r="C824" s="243"/>
      <c r="D824" s="243">
        <v>1</v>
      </c>
      <c r="E824" s="243">
        <v>99</v>
      </c>
      <c r="F824" s="24">
        <f t="shared" si="140"/>
        <v>0</v>
      </c>
      <c r="G824" s="24">
        <f t="shared" si="141"/>
        <v>9900</v>
      </c>
      <c r="H824" s="243"/>
    </row>
    <row r="825" s="34" customFormat="1" spans="1:8">
      <c r="A825" s="50">
        <v>2130207</v>
      </c>
      <c r="B825" s="251" t="s">
        <v>677</v>
      </c>
      <c r="C825" s="243"/>
      <c r="D825" s="243">
        <v>14</v>
      </c>
      <c r="E825" s="243">
        <v>5</v>
      </c>
      <c r="F825" s="24">
        <f t="shared" si="140"/>
        <v>0</v>
      </c>
      <c r="G825" s="24">
        <f t="shared" si="141"/>
        <v>35.7142857142857</v>
      </c>
      <c r="H825" s="243"/>
    </row>
    <row r="826" s="34" customFormat="1" spans="1:8">
      <c r="A826" s="50">
        <v>2130209</v>
      </c>
      <c r="B826" s="251" t="s">
        <v>678</v>
      </c>
      <c r="C826" s="243">
        <v>1835</v>
      </c>
      <c r="D826" s="243">
        <v>1691</v>
      </c>
      <c r="E826" s="243">
        <f>2239+141</f>
        <v>2380</v>
      </c>
      <c r="F826" s="24">
        <f t="shared" si="140"/>
        <v>129.700272479564</v>
      </c>
      <c r="G826" s="24">
        <f t="shared" si="141"/>
        <v>140.745121230041</v>
      </c>
      <c r="H826" s="243"/>
    </row>
    <row r="827" s="34" customFormat="1" spans="1:8">
      <c r="A827" s="50">
        <v>2130211</v>
      </c>
      <c r="B827" s="251" t="s">
        <v>679</v>
      </c>
      <c r="C827" s="243">
        <v>125</v>
      </c>
      <c r="D827" s="243">
        <v>93</v>
      </c>
      <c r="E827" s="243"/>
      <c r="F827" s="24">
        <f t="shared" si="140"/>
        <v>0</v>
      </c>
      <c r="G827" s="24">
        <f t="shared" si="141"/>
        <v>0</v>
      </c>
      <c r="H827" s="243"/>
    </row>
    <row r="828" s="34" customFormat="1" spans="1:8">
      <c r="A828" s="50">
        <v>2130212</v>
      </c>
      <c r="B828" s="251" t="s">
        <v>680</v>
      </c>
      <c r="C828" s="243"/>
      <c r="D828" s="243"/>
      <c r="E828" s="243"/>
      <c r="F828" s="24">
        <f t="shared" si="140"/>
        <v>0</v>
      </c>
      <c r="G828" s="24">
        <f t="shared" si="141"/>
        <v>0</v>
      </c>
      <c r="H828" s="243"/>
    </row>
    <row r="829" s="34" customFormat="1" spans="1:8">
      <c r="A829" s="50">
        <v>2130213</v>
      </c>
      <c r="B829" s="251" t="s">
        <v>681</v>
      </c>
      <c r="C829" s="243"/>
      <c r="D829" s="243"/>
      <c r="E829" s="243"/>
      <c r="F829" s="24">
        <f t="shared" si="140"/>
        <v>0</v>
      </c>
      <c r="G829" s="24">
        <f t="shared" si="141"/>
        <v>0</v>
      </c>
      <c r="H829" s="243"/>
    </row>
    <row r="830" s="34" customFormat="1" spans="1:8">
      <c r="A830" s="50">
        <v>2130217</v>
      </c>
      <c r="B830" s="251" t="s">
        <v>682</v>
      </c>
      <c r="C830" s="243"/>
      <c r="D830" s="243"/>
      <c r="E830" s="243"/>
      <c r="F830" s="24">
        <f t="shared" si="140"/>
        <v>0</v>
      </c>
      <c r="G830" s="24">
        <f t="shared" si="141"/>
        <v>0</v>
      </c>
      <c r="H830" s="243"/>
    </row>
    <row r="831" s="34" customFormat="1" spans="1:8">
      <c r="A831" s="50">
        <v>2130220</v>
      </c>
      <c r="B831" s="251" t="s">
        <v>683</v>
      </c>
      <c r="C831" s="243"/>
      <c r="D831" s="243"/>
      <c r="E831" s="243"/>
      <c r="F831" s="24">
        <f t="shared" si="140"/>
        <v>0</v>
      </c>
      <c r="G831" s="24">
        <f t="shared" si="141"/>
        <v>0</v>
      </c>
      <c r="H831" s="243"/>
    </row>
    <row r="832" s="34" customFormat="1" spans="1:8">
      <c r="A832" s="50">
        <v>2130221</v>
      </c>
      <c r="B832" s="251" t="s">
        <v>684</v>
      </c>
      <c r="C832" s="243"/>
      <c r="D832" s="243"/>
      <c r="E832" s="243"/>
      <c r="F832" s="24">
        <f t="shared" si="140"/>
        <v>0</v>
      </c>
      <c r="G832" s="24">
        <f t="shared" si="141"/>
        <v>0</v>
      </c>
      <c r="H832" s="243"/>
    </row>
    <row r="833" s="34" customFormat="1" spans="1:8">
      <c r="A833" s="50">
        <v>2130223</v>
      </c>
      <c r="B833" s="251" t="s">
        <v>685</v>
      </c>
      <c r="C833" s="243">
        <v>5</v>
      </c>
      <c r="D833" s="243">
        <v>5</v>
      </c>
      <c r="E833" s="243">
        <v>38</v>
      </c>
      <c r="F833" s="24">
        <f t="shared" si="140"/>
        <v>760</v>
      </c>
      <c r="G833" s="24">
        <f t="shared" si="141"/>
        <v>760</v>
      </c>
      <c r="H833" s="243"/>
    </row>
    <row r="834" s="34" customFormat="1" spans="1:8">
      <c r="A834" s="50">
        <v>2130226</v>
      </c>
      <c r="B834" s="251" t="s">
        <v>686</v>
      </c>
      <c r="C834" s="243"/>
      <c r="D834" s="243"/>
      <c r="E834" s="243"/>
      <c r="F834" s="24">
        <f t="shared" si="140"/>
        <v>0</v>
      </c>
      <c r="G834" s="24">
        <f t="shared" si="141"/>
        <v>0</v>
      </c>
      <c r="H834" s="243"/>
    </row>
    <row r="835" s="34" customFormat="1" spans="1:8">
      <c r="A835" s="50">
        <v>2130227</v>
      </c>
      <c r="B835" s="251" t="s">
        <v>687</v>
      </c>
      <c r="C835" s="243"/>
      <c r="D835" s="243"/>
      <c r="E835" s="243"/>
      <c r="F835" s="24">
        <f t="shared" si="140"/>
        <v>0</v>
      </c>
      <c r="G835" s="24">
        <f t="shared" si="141"/>
        <v>0</v>
      </c>
      <c r="H835" s="243"/>
    </row>
    <row r="836" s="34" customFormat="1" spans="1:8">
      <c r="A836" s="50">
        <v>2130234</v>
      </c>
      <c r="B836" s="251" t="s">
        <v>688</v>
      </c>
      <c r="C836" s="243">
        <v>10</v>
      </c>
      <c r="D836" s="243">
        <v>9</v>
      </c>
      <c r="E836" s="243">
        <v>10</v>
      </c>
      <c r="F836" s="24">
        <f t="shared" si="140"/>
        <v>100</v>
      </c>
      <c r="G836" s="24">
        <f t="shared" si="141"/>
        <v>111.111111111111</v>
      </c>
      <c r="H836" s="243"/>
    </row>
    <row r="837" s="34" customFormat="1" spans="1:8">
      <c r="A837" s="50">
        <v>2130236</v>
      </c>
      <c r="B837" s="251" t="s">
        <v>689</v>
      </c>
      <c r="C837" s="243"/>
      <c r="D837" s="243"/>
      <c r="E837" s="243"/>
      <c r="F837" s="24">
        <f t="shared" si="140"/>
        <v>0</v>
      </c>
      <c r="G837" s="24">
        <f t="shared" si="141"/>
        <v>0</v>
      </c>
      <c r="H837" s="243"/>
    </row>
    <row r="838" s="34" customFormat="1" spans="1:8">
      <c r="A838" s="50">
        <v>2130237</v>
      </c>
      <c r="B838" s="251" t="s">
        <v>658</v>
      </c>
      <c r="C838" s="243"/>
      <c r="D838" s="243"/>
      <c r="E838" s="243"/>
      <c r="F838" s="24">
        <f t="shared" ref="F838:F901" si="146">IF(C838&gt;0,E838/C838*100,)</f>
        <v>0</v>
      </c>
      <c r="G838" s="24">
        <f t="shared" ref="G838:G901" si="147">IF(D838&gt;0,E838/D838*100,)</f>
        <v>0</v>
      </c>
      <c r="H838" s="243"/>
    </row>
    <row r="839" s="34" customFormat="1" spans="1:8">
      <c r="A839" s="50">
        <v>2130299</v>
      </c>
      <c r="B839" s="251" t="s">
        <v>690</v>
      </c>
      <c r="C839" s="243">
        <v>980</v>
      </c>
      <c r="D839" s="243">
        <v>383</v>
      </c>
      <c r="E839" s="243">
        <f>428+846</f>
        <v>1274</v>
      </c>
      <c r="F839" s="24">
        <f t="shared" si="146"/>
        <v>130</v>
      </c>
      <c r="G839" s="24">
        <f t="shared" si="147"/>
        <v>332.637075718016</v>
      </c>
      <c r="H839" s="243"/>
    </row>
    <row r="840" s="34" customFormat="1" spans="1:8">
      <c r="A840" s="50">
        <v>21303</v>
      </c>
      <c r="B840" s="251" t="s">
        <v>691</v>
      </c>
      <c r="C840" s="241">
        <f t="shared" ref="C840:H840" si="148">SUM(C841:C867)</f>
        <v>5546</v>
      </c>
      <c r="D840" s="241">
        <f t="shared" si="148"/>
        <v>4393</v>
      </c>
      <c r="E840" s="241">
        <f t="shared" si="148"/>
        <v>8027</v>
      </c>
      <c r="F840" s="24">
        <f t="shared" si="146"/>
        <v>144.734944103859</v>
      </c>
      <c r="G840" s="24">
        <f t="shared" si="147"/>
        <v>182.722513089005</v>
      </c>
      <c r="H840" s="241">
        <f t="shared" si="148"/>
        <v>0</v>
      </c>
    </row>
    <row r="841" s="34" customFormat="1" spans="1:8">
      <c r="A841" s="50">
        <v>2130301</v>
      </c>
      <c r="B841" s="251" t="s">
        <v>68</v>
      </c>
      <c r="C841" s="243">
        <v>351</v>
      </c>
      <c r="D841" s="243">
        <v>348</v>
      </c>
      <c r="E841" s="243">
        <f>418+2</f>
        <v>420</v>
      </c>
      <c r="F841" s="24">
        <f t="shared" si="146"/>
        <v>119.65811965812</v>
      </c>
      <c r="G841" s="24">
        <f t="shared" si="147"/>
        <v>120.689655172414</v>
      </c>
      <c r="H841" s="243"/>
    </row>
    <row r="842" s="34" customFormat="1" spans="1:8">
      <c r="A842" s="50">
        <v>2130302</v>
      </c>
      <c r="B842" s="251" t="s">
        <v>69</v>
      </c>
      <c r="C842" s="243">
        <v>79</v>
      </c>
      <c r="D842" s="243">
        <v>81</v>
      </c>
      <c r="E842" s="243">
        <v>193</v>
      </c>
      <c r="F842" s="24">
        <f t="shared" si="146"/>
        <v>244.303797468354</v>
      </c>
      <c r="G842" s="24">
        <f t="shared" si="147"/>
        <v>238.271604938272</v>
      </c>
      <c r="H842" s="243"/>
    </row>
    <row r="843" s="34" customFormat="1" spans="1:8">
      <c r="A843" s="50">
        <v>2130303</v>
      </c>
      <c r="B843" s="251" t="s">
        <v>70</v>
      </c>
      <c r="C843" s="243">
        <v>0</v>
      </c>
      <c r="D843" s="243">
        <v>0</v>
      </c>
      <c r="E843" s="243"/>
      <c r="F843" s="24">
        <f t="shared" si="146"/>
        <v>0</v>
      </c>
      <c r="G843" s="24">
        <f t="shared" si="147"/>
        <v>0</v>
      </c>
      <c r="H843" s="243"/>
    </row>
    <row r="844" s="34" customFormat="1" spans="1:8">
      <c r="A844" s="50">
        <v>2130304</v>
      </c>
      <c r="B844" s="251" t="s">
        <v>692</v>
      </c>
      <c r="C844" s="243">
        <v>8</v>
      </c>
      <c r="D844" s="243">
        <v>7</v>
      </c>
      <c r="E844" s="243">
        <v>8</v>
      </c>
      <c r="F844" s="24">
        <f t="shared" si="146"/>
        <v>100</v>
      </c>
      <c r="G844" s="24">
        <f t="shared" si="147"/>
        <v>114.285714285714</v>
      </c>
      <c r="H844" s="243"/>
    </row>
    <row r="845" s="34" customFormat="1" spans="1:8">
      <c r="A845" s="50">
        <v>2130305</v>
      </c>
      <c r="B845" s="251" t="s">
        <v>693</v>
      </c>
      <c r="C845" s="243">
        <v>4874</v>
      </c>
      <c r="D845" s="243">
        <v>2718</v>
      </c>
      <c r="E845" s="243">
        <v>1268</v>
      </c>
      <c r="F845" s="24">
        <f t="shared" si="146"/>
        <v>26.015592942142</v>
      </c>
      <c r="G845" s="24">
        <f t="shared" si="147"/>
        <v>46.6519499632082</v>
      </c>
      <c r="H845" s="243"/>
    </row>
    <row r="846" s="34" customFormat="1" spans="1:8">
      <c r="A846" s="50">
        <v>2130306</v>
      </c>
      <c r="B846" s="251" t="s">
        <v>694</v>
      </c>
      <c r="C846" s="243">
        <v>43</v>
      </c>
      <c r="D846" s="243">
        <v>49</v>
      </c>
      <c r="E846" s="243">
        <v>24</v>
      </c>
      <c r="F846" s="24">
        <f t="shared" si="146"/>
        <v>55.8139534883721</v>
      </c>
      <c r="G846" s="24">
        <f t="shared" si="147"/>
        <v>48.9795918367347</v>
      </c>
      <c r="H846" s="243"/>
    </row>
    <row r="847" s="34" customFormat="1" spans="1:8">
      <c r="A847" s="50">
        <v>2130307</v>
      </c>
      <c r="B847" s="251" t="s">
        <v>695</v>
      </c>
      <c r="C847" s="243">
        <v>0</v>
      </c>
      <c r="D847" s="243">
        <v>0</v>
      </c>
      <c r="E847" s="243"/>
      <c r="F847" s="24">
        <f t="shared" si="146"/>
        <v>0</v>
      </c>
      <c r="G847" s="24">
        <f t="shared" si="147"/>
        <v>0</v>
      </c>
      <c r="H847" s="243"/>
    </row>
    <row r="848" s="34" customFormat="1" spans="1:8">
      <c r="A848" s="50">
        <v>2130308</v>
      </c>
      <c r="B848" s="251" t="s">
        <v>696</v>
      </c>
      <c r="C848" s="243">
        <v>28</v>
      </c>
      <c r="D848" s="243">
        <v>28</v>
      </c>
      <c r="E848" s="243">
        <v>28</v>
      </c>
      <c r="F848" s="24">
        <f t="shared" si="146"/>
        <v>100</v>
      </c>
      <c r="G848" s="24">
        <f t="shared" si="147"/>
        <v>100</v>
      </c>
      <c r="H848" s="243"/>
    </row>
    <row r="849" s="34" customFormat="1" spans="1:8">
      <c r="A849" s="50">
        <v>2130309</v>
      </c>
      <c r="B849" s="251" t="s">
        <v>697</v>
      </c>
      <c r="C849" s="243">
        <v>0</v>
      </c>
      <c r="D849" s="243">
        <v>0</v>
      </c>
      <c r="E849" s="243"/>
      <c r="F849" s="24">
        <f t="shared" si="146"/>
        <v>0</v>
      </c>
      <c r="G849" s="24">
        <f t="shared" si="147"/>
        <v>0</v>
      </c>
      <c r="H849" s="243"/>
    </row>
    <row r="850" s="34" customFormat="1" spans="1:8">
      <c r="A850" s="50">
        <v>2130310</v>
      </c>
      <c r="B850" s="251" t="s">
        <v>698</v>
      </c>
      <c r="C850" s="243">
        <v>1</v>
      </c>
      <c r="D850" s="243">
        <v>470</v>
      </c>
      <c r="E850" s="243">
        <f>1+211</f>
        <v>212</v>
      </c>
      <c r="F850" s="24">
        <f t="shared" si="146"/>
        <v>21200</v>
      </c>
      <c r="G850" s="24">
        <f t="shared" si="147"/>
        <v>45.1063829787234</v>
      </c>
      <c r="H850" s="243"/>
    </row>
    <row r="851" s="34" customFormat="1" spans="1:8">
      <c r="A851" s="50">
        <v>2130311</v>
      </c>
      <c r="B851" s="251" t="s">
        <v>699</v>
      </c>
      <c r="C851" s="243">
        <v>5</v>
      </c>
      <c r="D851" s="243">
        <v>96</v>
      </c>
      <c r="E851" s="243">
        <f>5+9</f>
        <v>14</v>
      </c>
      <c r="F851" s="24">
        <f t="shared" si="146"/>
        <v>280</v>
      </c>
      <c r="G851" s="24">
        <f t="shared" si="147"/>
        <v>14.5833333333333</v>
      </c>
      <c r="H851" s="243"/>
    </row>
    <row r="852" s="34" customFormat="1" spans="1:8">
      <c r="A852" s="50">
        <v>2130312</v>
      </c>
      <c r="B852" s="251" t="s">
        <v>700</v>
      </c>
      <c r="C852" s="243">
        <v>0</v>
      </c>
      <c r="D852" s="243">
        <v>0</v>
      </c>
      <c r="E852" s="243"/>
      <c r="F852" s="24">
        <f t="shared" si="146"/>
        <v>0</v>
      </c>
      <c r="G852" s="24">
        <f t="shared" si="147"/>
        <v>0</v>
      </c>
      <c r="H852" s="243"/>
    </row>
    <row r="853" s="34" customFormat="1" spans="1:8">
      <c r="A853" s="50">
        <v>2130313</v>
      </c>
      <c r="B853" s="251" t="s">
        <v>701</v>
      </c>
      <c r="C853" s="243">
        <v>0</v>
      </c>
      <c r="D853" s="243">
        <v>0</v>
      </c>
      <c r="E853" s="243"/>
      <c r="F853" s="24">
        <f t="shared" si="146"/>
        <v>0</v>
      </c>
      <c r="G853" s="24">
        <f t="shared" si="147"/>
        <v>0</v>
      </c>
      <c r="H853" s="243"/>
    </row>
    <row r="854" s="34" customFormat="1" spans="1:8">
      <c r="A854" s="50">
        <v>2130314</v>
      </c>
      <c r="B854" s="251" t="s">
        <v>702</v>
      </c>
      <c r="C854" s="243">
        <v>11</v>
      </c>
      <c r="D854" s="243">
        <v>115</v>
      </c>
      <c r="E854" s="243">
        <f>9+4</f>
        <v>13</v>
      </c>
      <c r="F854" s="24">
        <f t="shared" si="146"/>
        <v>118.181818181818</v>
      </c>
      <c r="G854" s="24">
        <f t="shared" si="147"/>
        <v>11.304347826087</v>
      </c>
      <c r="H854" s="243"/>
    </row>
    <row r="855" s="34" customFormat="1" spans="1:8">
      <c r="A855" s="50">
        <v>2130315</v>
      </c>
      <c r="B855" s="251" t="s">
        <v>703</v>
      </c>
      <c r="C855" s="243">
        <v>6</v>
      </c>
      <c r="D855" s="243">
        <v>6</v>
      </c>
      <c r="E855" s="243">
        <v>2</v>
      </c>
      <c r="F855" s="24">
        <f t="shared" si="146"/>
        <v>33.3333333333333</v>
      </c>
      <c r="G855" s="24">
        <f t="shared" si="147"/>
        <v>33.3333333333333</v>
      </c>
      <c r="H855" s="243"/>
    </row>
    <row r="856" s="34" customFormat="1" spans="1:8">
      <c r="A856" s="50">
        <v>2130316</v>
      </c>
      <c r="B856" s="251" t="s">
        <v>704</v>
      </c>
      <c r="C856" s="243">
        <v>0</v>
      </c>
      <c r="D856" s="243">
        <v>0</v>
      </c>
      <c r="E856" s="243"/>
      <c r="F856" s="24">
        <f t="shared" si="146"/>
        <v>0</v>
      </c>
      <c r="G856" s="24">
        <f t="shared" si="147"/>
        <v>0</v>
      </c>
      <c r="H856" s="243"/>
    </row>
    <row r="857" s="34" customFormat="1" spans="1:8">
      <c r="A857" s="50">
        <v>2130317</v>
      </c>
      <c r="B857" s="251" t="s">
        <v>705</v>
      </c>
      <c r="C857" s="243">
        <v>0</v>
      </c>
      <c r="D857" s="243">
        <v>0</v>
      </c>
      <c r="E857" s="243"/>
      <c r="F857" s="24">
        <f t="shared" si="146"/>
        <v>0</v>
      </c>
      <c r="G857" s="24">
        <f t="shared" si="147"/>
        <v>0</v>
      </c>
      <c r="H857" s="243"/>
    </row>
    <row r="858" s="34" customFormat="1" spans="1:8">
      <c r="A858" s="50">
        <v>2130318</v>
      </c>
      <c r="B858" s="251" t="s">
        <v>706</v>
      </c>
      <c r="C858" s="243">
        <v>0</v>
      </c>
      <c r="D858" s="243">
        <v>0</v>
      </c>
      <c r="E858" s="243"/>
      <c r="F858" s="24">
        <f t="shared" si="146"/>
        <v>0</v>
      </c>
      <c r="G858" s="24">
        <f t="shared" si="147"/>
        <v>0</v>
      </c>
      <c r="H858" s="243"/>
    </row>
    <row r="859" s="34" customFormat="1" spans="1:8">
      <c r="A859" s="50">
        <v>2130319</v>
      </c>
      <c r="B859" s="251" t="s">
        <v>707</v>
      </c>
      <c r="C859" s="243">
        <v>0</v>
      </c>
      <c r="D859" s="243">
        <v>0</v>
      </c>
      <c r="E859" s="243"/>
      <c r="F859" s="24">
        <f t="shared" si="146"/>
        <v>0</v>
      </c>
      <c r="G859" s="24">
        <f t="shared" si="147"/>
        <v>0</v>
      </c>
      <c r="H859" s="243"/>
    </row>
    <row r="860" s="34" customFormat="1" spans="1:8">
      <c r="A860" s="50">
        <v>2130321</v>
      </c>
      <c r="B860" s="251" t="s">
        <v>708</v>
      </c>
      <c r="C860" s="243">
        <v>0</v>
      </c>
      <c r="D860" s="243">
        <v>0</v>
      </c>
      <c r="E860" s="243"/>
      <c r="F860" s="24">
        <f t="shared" si="146"/>
        <v>0</v>
      </c>
      <c r="G860" s="24">
        <f t="shared" si="147"/>
        <v>0</v>
      </c>
      <c r="H860" s="243"/>
    </row>
    <row r="861" s="34" customFormat="1" spans="1:8">
      <c r="A861" s="50">
        <v>2130322</v>
      </c>
      <c r="B861" s="251" t="s">
        <v>709</v>
      </c>
      <c r="C861" s="243">
        <v>0</v>
      </c>
      <c r="D861" s="243">
        <v>0</v>
      </c>
      <c r="E861" s="243"/>
      <c r="F861" s="24">
        <f t="shared" si="146"/>
        <v>0</v>
      </c>
      <c r="G861" s="24">
        <f t="shared" si="147"/>
        <v>0</v>
      </c>
      <c r="H861" s="243"/>
    </row>
    <row r="862" s="34" customFormat="1" spans="1:8">
      <c r="A862" s="50">
        <v>2130333</v>
      </c>
      <c r="B862" s="251" t="s">
        <v>685</v>
      </c>
      <c r="C862" s="243">
        <v>0</v>
      </c>
      <c r="D862" s="243">
        <v>0</v>
      </c>
      <c r="E862" s="243"/>
      <c r="F862" s="24">
        <f t="shared" si="146"/>
        <v>0</v>
      </c>
      <c r="G862" s="24">
        <f t="shared" si="147"/>
        <v>0</v>
      </c>
      <c r="H862" s="243"/>
    </row>
    <row r="863" s="34" customFormat="1" spans="1:8">
      <c r="A863" s="50">
        <v>2130334</v>
      </c>
      <c r="B863" s="251" t="s">
        <v>710</v>
      </c>
      <c r="C863" s="243">
        <v>35</v>
      </c>
      <c r="D863" s="243">
        <v>35</v>
      </c>
      <c r="E863" s="243"/>
      <c r="F863" s="24">
        <f t="shared" si="146"/>
        <v>0</v>
      </c>
      <c r="G863" s="24">
        <f t="shared" si="147"/>
        <v>0</v>
      </c>
      <c r="H863" s="243"/>
    </row>
    <row r="864" s="34" customFormat="1" spans="1:8">
      <c r="A864" s="50">
        <v>2130335</v>
      </c>
      <c r="B864" s="251" t="s">
        <v>711</v>
      </c>
      <c r="C864" s="243">
        <v>0</v>
      </c>
      <c r="D864" s="243">
        <v>122</v>
      </c>
      <c r="E864" s="243">
        <v>42</v>
      </c>
      <c r="F864" s="24">
        <f t="shared" si="146"/>
        <v>0</v>
      </c>
      <c r="G864" s="24">
        <f t="shared" si="147"/>
        <v>34.4262295081967</v>
      </c>
      <c r="H864" s="243"/>
    </row>
    <row r="865" s="34" customFormat="1" spans="1:8">
      <c r="A865" s="50">
        <v>2130336</v>
      </c>
      <c r="B865" s="251" t="s">
        <v>712</v>
      </c>
      <c r="C865" s="243">
        <v>0</v>
      </c>
      <c r="D865" s="243">
        <v>0</v>
      </c>
      <c r="E865" s="243"/>
      <c r="F865" s="24">
        <f t="shared" si="146"/>
        <v>0</v>
      </c>
      <c r="G865" s="24">
        <f t="shared" si="147"/>
        <v>0</v>
      </c>
      <c r="H865" s="243"/>
    </row>
    <row r="866" s="34" customFormat="1" spans="1:8">
      <c r="A866" s="50">
        <v>2130337</v>
      </c>
      <c r="B866" s="251" t="s">
        <v>713</v>
      </c>
      <c r="C866" s="243">
        <v>4</v>
      </c>
      <c r="D866" s="243">
        <v>0</v>
      </c>
      <c r="E866" s="243"/>
      <c r="F866" s="24">
        <f t="shared" si="146"/>
        <v>0</v>
      </c>
      <c r="G866" s="24">
        <f t="shared" si="147"/>
        <v>0</v>
      </c>
      <c r="H866" s="243"/>
    </row>
    <row r="867" s="34" customFormat="1" spans="1:8">
      <c r="A867" s="50">
        <v>2130399</v>
      </c>
      <c r="B867" s="251" t="s">
        <v>714</v>
      </c>
      <c r="C867" s="243">
        <v>101</v>
      </c>
      <c r="D867" s="243">
        <v>318</v>
      </c>
      <c r="E867" s="243">
        <f>5752+51</f>
        <v>5803</v>
      </c>
      <c r="F867" s="24">
        <f t="shared" si="146"/>
        <v>5745.54455445545</v>
      </c>
      <c r="G867" s="24">
        <f t="shared" si="147"/>
        <v>1824.8427672956</v>
      </c>
      <c r="H867" s="243"/>
    </row>
    <row r="868" s="34" customFormat="1" spans="1:8">
      <c r="A868" s="50">
        <v>21305</v>
      </c>
      <c r="B868" s="251" t="s">
        <v>715</v>
      </c>
      <c r="C868" s="241">
        <f t="shared" ref="C868:H868" si="149">SUM(C869:C878)</f>
        <v>10608</v>
      </c>
      <c r="D868" s="241">
        <f t="shared" si="149"/>
        <v>26173</v>
      </c>
      <c r="E868" s="241">
        <f t="shared" si="149"/>
        <v>14863</v>
      </c>
      <c r="F868" s="24">
        <f t="shared" si="146"/>
        <v>140.111236802413</v>
      </c>
      <c r="G868" s="24">
        <f t="shared" si="147"/>
        <v>56.7875291330761</v>
      </c>
      <c r="H868" s="241">
        <f t="shared" si="149"/>
        <v>0</v>
      </c>
    </row>
    <row r="869" s="34" customFormat="1" spans="1:8">
      <c r="A869" s="50">
        <v>2130501</v>
      </c>
      <c r="B869" s="251" t="s">
        <v>68</v>
      </c>
      <c r="C869" s="243">
        <v>0</v>
      </c>
      <c r="D869" s="243">
        <v>0</v>
      </c>
      <c r="E869" s="243"/>
      <c r="F869" s="24">
        <f t="shared" si="146"/>
        <v>0</v>
      </c>
      <c r="G869" s="24">
        <f t="shared" si="147"/>
        <v>0</v>
      </c>
      <c r="H869" s="243"/>
    </row>
    <row r="870" s="34" customFormat="1" spans="1:8">
      <c r="A870" s="50">
        <v>2130502</v>
      </c>
      <c r="B870" s="251" t="s">
        <v>69</v>
      </c>
      <c r="C870" s="243">
        <v>150</v>
      </c>
      <c r="D870" s="243">
        <v>40</v>
      </c>
      <c r="E870" s="243">
        <v>100</v>
      </c>
      <c r="F870" s="24">
        <f t="shared" si="146"/>
        <v>66.6666666666667</v>
      </c>
      <c r="G870" s="24">
        <f t="shared" si="147"/>
        <v>250</v>
      </c>
      <c r="H870" s="243"/>
    </row>
    <row r="871" s="34" customFormat="1" spans="1:8">
      <c r="A871" s="50">
        <v>2130503</v>
      </c>
      <c r="B871" s="251" t="s">
        <v>70</v>
      </c>
      <c r="C871" s="243">
        <v>0</v>
      </c>
      <c r="D871" s="243">
        <v>0</v>
      </c>
      <c r="E871" s="243"/>
      <c r="F871" s="24">
        <f t="shared" si="146"/>
        <v>0</v>
      </c>
      <c r="G871" s="24">
        <f t="shared" si="147"/>
        <v>0</v>
      </c>
      <c r="H871" s="243"/>
    </row>
    <row r="872" s="34" customFormat="1" spans="1:8">
      <c r="A872" s="50">
        <v>2130504</v>
      </c>
      <c r="B872" s="251" t="s">
        <v>716</v>
      </c>
      <c r="C872" s="243">
        <v>540</v>
      </c>
      <c r="D872" s="243">
        <v>11823</v>
      </c>
      <c r="E872" s="243">
        <f>12+446</f>
        <v>458</v>
      </c>
      <c r="F872" s="24">
        <f t="shared" si="146"/>
        <v>84.8148148148148</v>
      </c>
      <c r="G872" s="24">
        <f t="shared" si="147"/>
        <v>3.87380529476444</v>
      </c>
      <c r="H872" s="243"/>
    </row>
    <row r="873" s="34" customFormat="1" spans="1:8">
      <c r="A873" s="50">
        <v>2130505</v>
      </c>
      <c r="B873" s="251" t="s">
        <v>717</v>
      </c>
      <c r="C873" s="243">
        <v>9248</v>
      </c>
      <c r="D873" s="243">
        <v>4089</v>
      </c>
      <c r="E873" s="243">
        <f>12+67+371</f>
        <v>450</v>
      </c>
      <c r="F873" s="24">
        <f t="shared" si="146"/>
        <v>4.8659169550173</v>
      </c>
      <c r="G873" s="24">
        <f t="shared" si="147"/>
        <v>11.0051357300073</v>
      </c>
      <c r="H873" s="243"/>
    </row>
    <row r="874" s="34" customFormat="1" spans="1:8">
      <c r="A874" s="50">
        <v>2130506</v>
      </c>
      <c r="B874" s="251" t="s">
        <v>718</v>
      </c>
      <c r="C874" s="243">
        <v>0</v>
      </c>
      <c r="D874" s="243">
        <v>1391</v>
      </c>
      <c r="E874" s="243"/>
      <c r="F874" s="24">
        <f t="shared" si="146"/>
        <v>0</v>
      </c>
      <c r="G874" s="24">
        <f t="shared" si="147"/>
        <v>0</v>
      </c>
      <c r="H874" s="243"/>
    </row>
    <row r="875" s="34" customFormat="1" spans="1:8">
      <c r="A875" s="50">
        <v>2130507</v>
      </c>
      <c r="B875" s="251" t="s">
        <v>719</v>
      </c>
      <c r="C875" s="243">
        <v>0</v>
      </c>
      <c r="D875" s="243">
        <v>636</v>
      </c>
      <c r="E875" s="243"/>
      <c r="F875" s="24">
        <f t="shared" si="146"/>
        <v>0</v>
      </c>
      <c r="G875" s="24">
        <f t="shared" si="147"/>
        <v>0</v>
      </c>
      <c r="H875" s="243"/>
    </row>
    <row r="876" s="34" customFormat="1" spans="1:8">
      <c r="A876" s="50">
        <v>2130508</v>
      </c>
      <c r="B876" s="251" t="s">
        <v>720</v>
      </c>
      <c r="C876" s="243">
        <v>0</v>
      </c>
      <c r="D876" s="243">
        <v>0</v>
      </c>
      <c r="E876" s="243"/>
      <c r="F876" s="24">
        <f t="shared" si="146"/>
        <v>0</v>
      </c>
      <c r="G876" s="24">
        <f t="shared" si="147"/>
        <v>0</v>
      </c>
      <c r="H876" s="243"/>
    </row>
    <row r="877" s="34" customFormat="1" spans="1:8">
      <c r="A877" s="50">
        <v>2130550</v>
      </c>
      <c r="B877" s="251" t="s">
        <v>77</v>
      </c>
      <c r="C877" s="243">
        <v>0</v>
      </c>
      <c r="D877" s="243">
        <v>0</v>
      </c>
      <c r="E877" s="243"/>
      <c r="F877" s="24">
        <f t="shared" si="146"/>
        <v>0</v>
      </c>
      <c r="G877" s="24">
        <f t="shared" si="147"/>
        <v>0</v>
      </c>
      <c r="H877" s="243"/>
    </row>
    <row r="878" s="34" customFormat="1" spans="1:8">
      <c r="A878" s="50">
        <v>2130599</v>
      </c>
      <c r="B878" s="251" t="s">
        <v>721</v>
      </c>
      <c r="C878" s="243">
        <v>670</v>
      </c>
      <c r="D878" s="243">
        <v>8194</v>
      </c>
      <c r="E878" s="243">
        <f>12385+1470</f>
        <v>13855</v>
      </c>
      <c r="F878" s="24">
        <f t="shared" si="146"/>
        <v>2067.91044776119</v>
      </c>
      <c r="G878" s="24">
        <f t="shared" si="147"/>
        <v>169.087136929461</v>
      </c>
      <c r="H878" s="243"/>
    </row>
    <row r="879" s="34" customFormat="1" spans="1:8">
      <c r="A879" s="50">
        <v>21307</v>
      </c>
      <c r="B879" s="251" t="s">
        <v>722</v>
      </c>
      <c r="C879" s="241">
        <f t="shared" ref="C879:H879" si="150">SUM(C880:C885)</f>
        <v>1053</v>
      </c>
      <c r="D879" s="241">
        <f t="shared" si="150"/>
        <v>2561</v>
      </c>
      <c r="E879" s="241">
        <f t="shared" si="150"/>
        <v>2713</v>
      </c>
      <c r="F879" s="24">
        <f t="shared" si="146"/>
        <v>257.644824311491</v>
      </c>
      <c r="G879" s="24">
        <f t="shared" si="147"/>
        <v>105.935181569699</v>
      </c>
      <c r="H879" s="241">
        <f t="shared" si="150"/>
        <v>0</v>
      </c>
    </row>
    <row r="880" s="34" customFormat="1" spans="1:8">
      <c r="A880" s="50">
        <v>2130701</v>
      </c>
      <c r="B880" s="251" t="s">
        <v>723</v>
      </c>
      <c r="C880" s="243">
        <v>383</v>
      </c>
      <c r="D880" s="243">
        <v>1926</v>
      </c>
      <c r="E880" s="243">
        <f>1671+242</f>
        <v>1913</v>
      </c>
      <c r="F880" s="24">
        <f t="shared" si="146"/>
        <v>499.477806788512</v>
      </c>
      <c r="G880" s="24">
        <f t="shared" si="147"/>
        <v>99.32502596054</v>
      </c>
      <c r="H880" s="243"/>
    </row>
    <row r="881" s="34" customFormat="1" spans="1:8">
      <c r="A881" s="50">
        <v>2130704</v>
      </c>
      <c r="B881" s="251" t="s">
        <v>724</v>
      </c>
      <c r="C881" s="243">
        <v>0</v>
      </c>
      <c r="D881" s="243">
        <v>0</v>
      </c>
      <c r="E881" s="243"/>
      <c r="F881" s="24">
        <f t="shared" si="146"/>
        <v>0</v>
      </c>
      <c r="G881" s="24">
        <f t="shared" si="147"/>
        <v>0</v>
      </c>
      <c r="H881" s="243"/>
    </row>
    <row r="882" s="34" customFormat="1" spans="1:8">
      <c r="A882" s="50">
        <v>2130705</v>
      </c>
      <c r="B882" s="251" t="s">
        <v>725</v>
      </c>
      <c r="C882" s="243">
        <v>0</v>
      </c>
      <c r="D882" s="243">
        <v>0</v>
      </c>
      <c r="E882" s="243"/>
      <c r="F882" s="24">
        <f t="shared" si="146"/>
        <v>0</v>
      </c>
      <c r="G882" s="24">
        <f t="shared" si="147"/>
        <v>0</v>
      </c>
      <c r="H882" s="243"/>
    </row>
    <row r="883" s="34" customFormat="1" spans="1:8">
      <c r="A883" s="50">
        <v>2130706</v>
      </c>
      <c r="B883" s="251" t="s">
        <v>726</v>
      </c>
      <c r="C883" s="243">
        <v>500</v>
      </c>
      <c r="D883" s="243">
        <v>500</v>
      </c>
      <c r="E883" s="243">
        <v>550</v>
      </c>
      <c r="F883" s="24">
        <f t="shared" si="146"/>
        <v>110</v>
      </c>
      <c r="G883" s="24">
        <f t="shared" si="147"/>
        <v>110</v>
      </c>
      <c r="H883" s="243"/>
    </row>
    <row r="884" s="34" customFormat="1" spans="1:8">
      <c r="A884" s="50">
        <v>2130707</v>
      </c>
      <c r="B884" s="251" t="s">
        <v>727</v>
      </c>
      <c r="C884" s="243">
        <v>120</v>
      </c>
      <c r="D884" s="243">
        <v>98</v>
      </c>
      <c r="E884" s="243">
        <f>30+22</f>
        <v>52</v>
      </c>
      <c r="F884" s="24">
        <f t="shared" si="146"/>
        <v>43.3333333333333</v>
      </c>
      <c r="G884" s="24">
        <f t="shared" si="147"/>
        <v>53.0612244897959</v>
      </c>
      <c r="H884" s="243"/>
    </row>
    <row r="885" s="34" customFormat="1" spans="1:8">
      <c r="A885" s="50">
        <v>2130799</v>
      </c>
      <c r="B885" s="251" t="s">
        <v>728</v>
      </c>
      <c r="C885" s="243">
        <v>50</v>
      </c>
      <c r="D885" s="243">
        <v>37</v>
      </c>
      <c r="E885" s="243">
        <f>22+176</f>
        <v>198</v>
      </c>
      <c r="F885" s="24">
        <f t="shared" si="146"/>
        <v>396</v>
      </c>
      <c r="G885" s="24">
        <f t="shared" si="147"/>
        <v>535.135135135135</v>
      </c>
      <c r="H885" s="243"/>
    </row>
    <row r="886" s="34" customFormat="1" spans="1:8">
      <c r="A886" s="50">
        <v>21308</v>
      </c>
      <c r="B886" s="251" t="s">
        <v>729</v>
      </c>
      <c r="C886" s="241">
        <f t="shared" ref="C886:H886" si="151">SUM(C887:C891)</f>
        <v>1458</v>
      </c>
      <c r="D886" s="241">
        <f t="shared" si="151"/>
        <v>1061</v>
      </c>
      <c r="E886" s="241">
        <f t="shared" si="151"/>
        <v>2095</v>
      </c>
      <c r="F886" s="24">
        <f t="shared" si="146"/>
        <v>143.689986282579</v>
      </c>
      <c r="G886" s="24">
        <f t="shared" si="147"/>
        <v>197.455230914232</v>
      </c>
      <c r="H886" s="241">
        <f t="shared" si="151"/>
        <v>0</v>
      </c>
    </row>
    <row r="887" s="34" customFormat="1" spans="1:8">
      <c r="A887" s="50">
        <v>2130801</v>
      </c>
      <c r="B887" s="251" t="s">
        <v>730</v>
      </c>
      <c r="C887" s="243"/>
      <c r="D887" s="243"/>
      <c r="E887" s="243"/>
      <c r="F887" s="24">
        <f t="shared" si="146"/>
        <v>0</v>
      </c>
      <c r="G887" s="24">
        <f t="shared" si="147"/>
        <v>0</v>
      </c>
      <c r="H887" s="243"/>
    </row>
    <row r="888" s="34" customFormat="1" spans="1:8">
      <c r="A888" s="50">
        <v>2130803</v>
      </c>
      <c r="B888" s="251" t="s">
        <v>731</v>
      </c>
      <c r="C888" s="243">
        <v>1422</v>
      </c>
      <c r="D888" s="243">
        <v>848</v>
      </c>
      <c r="E888" s="243">
        <f>1473+590</f>
        <v>2063</v>
      </c>
      <c r="F888" s="24">
        <f t="shared" si="146"/>
        <v>145.07735583685</v>
      </c>
      <c r="G888" s="24">
        <f t="shared" si="147"/>
        <v>243.278301886792</v>
      </c>
      <c r="H888" s="243"/>
    </row>
    <row r="889" s="34" customFormat="1" spans="1:8">
      <c r="A889" s="50">
        <v>2130804</v>
      </c>
      <c r="B889" s="251" t="s">
        <v>732</v>
      </c>
      <c r="C889" s="243">
        <v>36</v>
      </c>
      <c r="D889" s="243">
        <v>213</v>
      </c>
      <c r="E889" s="243">
        <v>32</v>
      </c>
      <c r="F889" s="24">
        <f t="shared" si="146"/>
        <v>88.8888888888889</v>
      </c>
      <c r="G889" s="24">
        <f t="shared" si="147"/>
        <v>15.0234741784038</v>
      </c>
      <c r="H889" s="243"/>
    </row>
    <row r="890" s="34" customFormat="1" spans="1:8">
      <c r="A890" s="50">
        <v>2130805</v>
      </c>
      <c r="B890" s="251" t="s">
        <v>733</v>
      </c>
      <c r="C890" s="243"/>
      <c r="D890" s="243"/>
      <c r="E890" s="243"/>
      <c r="F890" s="24">
        <f t="shared" si="146"/>
        <v>0</v>
      </c>
      <c r="G890" s="24">
        <f t="shared" si="147"/>
        <v>0</v>
      </c>
      <c r="H890" s="243"/>
    </row>
    <row r="891" s="34" customFormat="1" spans="1:8">
      <c r="A891" s="50">
        <v>2130899</v>
      </c>
      <c r="B891" s="251" t="s">
        <v>734</v>
      </c>
      <c r="C891" s="243"/>
      <c r="D891" s="243"/>
      <c r="E891" s="243"/>
      <c r="F891" s="24">
        <f t="shared" si="146"/>
        <v>0</v>
      </c>
      <c r="G891" s="24">
        <f t="shared" si="147"/>
        <v>0</v>
      </c>
      <c r="H891" s="243"/>
    </row>
    <row r="892" s="34" customFormat="1" spans="1:8">
      <c r="A892" s="50">
        <v>21309</v>
      </c>
      <c r="B892" s="251" t="s">
        <v>735</v>
      </c>
      <c r="C892" s="241">
        <f t="shared" ref="C892:H892" si="152">SUM(C893:C894)</f>
        <v>0</v>
      </c>
      <c r="D892" s="241">
        <f t="shared" si="152"/>
        <v>1</v>
      </c>
      <c r="E892" s="241">
        <f t="shared" si="152"/>
        <v>2</v>
      </c>
      <c r="F892" s="24">
        <f t="shared" si="146"/>
        <v>0</v>
      </c>
      <c r="G892" s="24">
        <f t="shared" si="147"/>
        <v>200</v>
      </c>
      <c r="H892" s="241">
        <f t="shared" si="152"/>
        <v>0</v>
      </c>
    </row>
    <row r="893" s="34" customFormat="1" spans="1:8">
      <c r="A893" s="50">
        <v>2130901</v>
      </c>
      <c r="B893" s="251" t="s">
        <v>736</v>
      </c>
      <c r="C893" s="243"/>
      <c r="D893" s="243"/>
      <c r="E893" s="243"/>
      <c r="F893" s="24">
        <f t="shared" si="146"/>
        <v>0</v>
      </c>
      <c r="G893" s="24">
        <f t="shared" si="147"/>
        <v>0</v>
      </c>
      <c r="H893" s="243"/>
    </row>
    <row r="894" s="34" customFormat="1" spans="1:8">
      <c r="A894" s="50">
        <v>2130999</v>
      </c>
      <c r="B894" s="251" t="s">
        <v>737</v>
      </c>
      <c r="C894" s="243"/>
      <c r="D894" s="243">
        <v>1</v>
      </c>
      <c r="E894" s="243">
        <v>2</v>
      </c>
      <c r="F894" s="24">
        <f t="shared" si="146"/>
        <v>0</v>
      </c>
      <c r="G894" s="24">
        <f t="shared" si="147"/>
        <v>200</v>
      </c>
      <c r="H894" s="243"/>
    </row>
    <row r="895" s="34" customFormat="1" spans="1:8">
      <c r="A895" s="50">
        <v>21399</v>
      </c>
      <c r="B895" s="251" t="s">
        <v>738</v>
      </c>
      <c r="C895" s="241">
        <f t="shared" ref="C895:H895" si="153">SUM(C896:C897)</f>
        <v>0</v>
      </c>
      <c r="D895" s="241">
        <f t="shared" si="153"/>
        <v>200</v>
      </c>
      <c r="E895" s="241">
        <f t="shared" si="153"/>
        <v>0</v>
      </c>
      <c r="F895" s="24">
        <f t="shared" si="146"/>
        <v>0</v>
      </c>
      <c r="G895" s="24">
        <f t="shared" si="147"/>
        <v>0</v>
      </c>
      <c r="H895" s="241">
        <f t="shared" si="153"/>
        <v>0</v>
      </c>
    </row>
    <row r="896" s="34" customFormat="1" spans="1:8">
      <c r="A896" s="50">
        <v>2139901</v>
      </c>
      <c r="B896" s="251" t="s">
        <v>739</v>
      </c>
      <c r="C896" s="243"/>
      <c r="D896" s="243"/>
      <c r="E896" s="243"/>
      <c r="F896" s="24">
        <f t="shared" si="146"/>
        <v>0</v>
      </c>
      <c r="G896" s="24">
        <f t="shared" si="147"/>
        <v>0</v>
      </c>
      <c r="H896" s="243"/>
    </row>
    <row r="897" s="34" customFormat="1" spans="1:8">
      <c r="A897" s="50">
        <v>2139999</v>
      </c>
      <c r="B897" s="251" t="s">
        <v>740</v>
      </c>
      <c r="C897" s="243"/>
      <c r="D897" s="243">
        <v>200</v>
      </c>
      <c r="E897" s="243"/>
      <c r="F897" s="24">
        <f t="shared" si="146"/>
        <v>0</v>
      </c>
      <c r="G897" s="24">
        <f t="shared" si="147"/>
        <v>0</v>
      </c>
      <c r="H897" s="243"/>
    </row>
    <row r="898" s="34" customFormat="1" spans="1:8">
      <c r="A898" s="50">
        <v>214</v>
      </c>
      <c r="B898" s="251" t="s">
        <v>741</v>
      </c>
      <c r="C898" s="241">
        <f t="shared" ref="C898:H898" si="154">SUM(C899,C921,C931,C941,C948,C953)</f>
        <v>2939</v>
      </c>
      <c r="D898" s="241">
        <f t="shared" si="154"/>
        <v>7572</v>
      </c>
      <c r="E898" s="241">
        <f t="shared" si="154"/>
        <v>1767</v>
      </c>
      <c r="F898" s="24">
        <f t="shared" si="146"/>
        <v>60.1224906430759</v>
      </c>
      <c r="G898" s="24">
        <f t="shared" si="147"/>
        <v>23.3359746434231</v>
      </c>
      <c r="H898" s="241">
        <f t="shared" si="154"/>
        <v>0</v>
      </c>
    </row>
    <row r="899" s="34" customFormat="1" spans="1:8">
      <c r="A899" s="50">
        <v>21401</v>
      </c>
      <c r="B899" s="251" t="s">
        <v>742</v>
      </c>
      <c r="C899" s="241">
        <f t="shared" ref="C899:H899" si="155">SUM(C900:C920)</f>
        <v>1807</v>
      </c>
      <c r="D899" s="241">
        <f t="shared" si="155"/>
        <v>4248</v>
      </c>
      <c r="E899" s="241">
        <f t="shared" si="155"/>
        <v>1767</v>
      </c>
      <c r="F899" s="24">
        <f t="shared" si="146"/>
        <v>97.7863862755949</v>
      </c>
      <c r="G899" s="24">
        <f t="shared" si="147"/>
        <v>41.5960451977401</v>
      </c>
      <c r="H899" s="241">
        <f t="shared" si="155"/>
        <v>0</v>
      </c>
    </row>
    <row r="900" s="34" customFormat="1" spans="1:8">
      <c r="A900" s="50">
        <v>2140101</v>
      </c>
      <c r="B900" s="251" t="s">
        <v>68</v>
      </c>
      <c r="C900" s="243">
        <v>392</v>
      </c>
      <c r="D900" s="243">
        <v>375</v>
      </c>
      <c r="E900" s="243">
        <f>399+199</f>
        <v>598</v>
      </c>
      <c r="F900" s="24">
        <f t="shared" si="146"/>
        <v>152.551020408163</v>
      </c>
      <c r="G900" s="24">
        <f t="shared" si="147"/>
        <v>159.466666666667</v>
      </c>
      <c r="H900" s="243"/>
    </row>
    <row r="901" s="34" customFormat="1" spans="1:8">
      <c r="A901" s="50">
        <v>2140102</v>
      </c>
      <c r="B901" s="251" t="s">
        <v>69</v>
      </c>
      <c r="C901" s="243">
        <v>34</v>
      </c>
      <c r="D901" s="243">
        <v>81</v>
      </c>
      <c r="E901" s="243"/>
      <c r="F901" s="24">
        <f t="shared" si="146"/>
        <v>0</v>
      </c>
      <c r="G901" s="24">
        <f t="shared" si="147"/>
        <v>0</v>
      </c>
      <c r="H901" s="243"/>
    </row>
    <row r="902" s="34" customFormat="1" spans="1:8">
      <c r="A902" s="50">
        <v>2140103</v>
      </c>
      <c r="B902" s="251" t="s">
        <v>70</v>
      </c>
      <c r="C902" s="243">
        <v>0</v>
      </c>
      <c r="D902" s="243">
        <v>0</v>
      </c>
      <c r="E902" s="243"/>
      <c r="F902" s="24">
        <f t="shared" ref="F902:F965" si="156">IF(C902&gt;0,E902/C902*100,)</f>
        <v>0</v>
      </c>
      <c r="G902" s="24">
        <f t="shared" ref="G902:G965" si="157">IF(D902&gt;0,E902/D902*100,)</f>
        <v>0</v>
      </c>
      <c r="H902" s="243"/>
    </row>
    <row r="903" s="34" customFormat="1" spans="1:8">
      <c r="A903" s="50">
        <v>2140104</v>
      </c>
      <c r="B903" s="251" t="s">
        <v>743</v>
      </c>
      <c r="C903" s="243">
        <v>1090</v>
      </c>
      <c r="D903" s="243">
        <v>3054</v>
      </c>
      <c r="E903" s="243">
        <v>1000</v>
      </c>
      <c r="F903" s="24">
        <f t="shared" si="156"/>
        <v>91.743119266055</v>
      </c>
      <c r="G903" s="24">
        <f t="shared" si="157"/>
        <v>32.7439423706614</v>
      </c>
      <c r="H903" s="243"/>
    </row>
    <row r="904" s="34" customFormat="1" spans="1:8">
      <c r="A904" s="50">
        <v>2140106</v>
      </c>
      <c r="B904" s="251" t="s">
        <v>744</v>
      </c>
      <c r="C904" s="243">
        <v>212</v>
      </c>
      <c r="D904" s="243">
        <v>635</v>
      </c>
      <c r="E904" s="243"/>
      <c r="F904" s="24">
        <f t="shared" si="156"/>
        <v>0</v>
      </c>
      <c r="G904" s="24">
        <f t="shared" si="157"/>
        <v>0</v>
      </c>
      <c r="H904" s="243"/>
    </row>
    <row r="905" s="34" customFormat="1" spans="1:8">
      <c r="A905" s="50">
        <v>2140109</v>
      </c>
      <c r="B905" s="251" t="s">
        <v>745</v>
      </c>
      <c r="C905" s="243">
        <v>0</v>
      </c>
      <c r="D905" s="243">
        <v>0</v>
      </c>
      <c r="E905" s="243"/>
      <c r="F905" s="24">
        <f t="shared" si="156"/>
        <v>0</v>
      </c>
      <c r="G905" s="24">
        <f t="shared" si="157"/>
        <v>0</v>
      </c>
      <c r="H905" s="243"/>
    </row>
    <row r="906" s="34" customFormat="1" spans="1:8">
      <c r="A906" s="50">
        <v>2140110</v>
      </c>
      <c r="B906" s="251" t="s">
        <v>746</v>
      </c>
      <c r="C906" s="243">
        <v>1</v>
      </c>
      <c r="D906" s="243">
        <v>9</v>
      </c>
      <c r="E906" s="243">
        <v>5</v>
      </c>
      <c r="F906" s="24">
        <f t="shared" si="156"/>
        <v>500</v>
      </c>
      <c r="G906" s="24">
        <f t="shared" si="157"/>
        <v>55.5555555555556</v>
      </c>
      <c r="H906" s="243"/>
    </row>
    <row r="907" s="34" customFormat="1" spans="1:8">
      <c r="A907" s="50">
        <v>2140111</v>
      </c>
      <c r="B907" s="251" t="s">
        <v>747</v>
      </c>
      <c r="C907" s="243"/>
      <c r="D907" s="243"/>
      <c r="E907" s="243"/>
      <c r="F907" s="24">
        <f t="shared" si="156"/>
        <v>0</v>
      </c>
      <c r="G907" s="24">
        <f t="shared" si="157"/>
        <v>0</v>
      </c>
      <c r="H907" s="243"/>
    </row>
    <row r="908" s="34" customFormat="1" spans="1:8">
      <c r="A908" s="50">
        <v>2140112</v>
      </c>
      <c r="B908" s="251" t="s">
        <v>748</v>
      </c>
      <c r="C908" s="243"/>
      <c r="D908" s="243"/>
      <c r="E908" s="243">
        <v>164</v>
      </c>
      <c r="F908" s="24">
        <f t="shared" si="156"/>
        <v>0</v>
      </c>
      <c r="G908" s="24">
        <f t="shared" si="157"/>
        <v>0</v>
      </c>
      <c r="H908" s="243"/>
    </row>
    <row r="909" s="34" customFormat="1" spans="1:8">
      <c r="A909" s="50">
        <v>2140114</v>
      </c>
      <c r="B909" s="251" t="s">
        <v>749</v>
      </c>
      <c r="C909" s="243"/>
      <c r="D909" s="243"/>
      <c r="E909" s="243"/>
      <c r="F909" s="24">
        <f t="shared" si="156"/>
        <v>0</v>
      </c>
      <c r="G909" s="24">
        <f t="shared" si="157"/>
        <v>0</v>
      </c>
      <c r="H909" s="243"/>
    </row>
    <row r="910" s="34" customFormat="1" spans="1:8">
      <c r="A910" s="50">
        <v>2140122</v>
      </c>
      <c r="B910" s="251" t="s">
        <v>750</v>
      </c>
      <c r="C910" s="243"/>
      <c r="D910" s="243"/>
      <c r="E910" s="243"/>
      <c r="F910" s="24">
        <f t="shared" si="156"/>
        <v>0</v>
      </c>
      <c r="G910" s="24">
        <f t="shared" si="157"/>
        <v>0</v>
      </c>
      <c r="H910" s="243"/>
    </row>
    <row r="911" s="34" customFormat="1" spans="1:8">
      <c r="A911" s="50">
        <v>2140123</v>
      </c>
      <c r="B911" s="251" t="s">
        <v>751</v>
      </c>
      <c r="C911" s="243"/>
      <c r="D911" s="243"/>
      <c r="E911" s="243"/>
      <c r="F911" s="24">
        <f t="shared" si="156"/>
        <v>0</v>
      </c>
      <c r="G911" s="24">
        <f t="shared" si="157"/>
        <v>0</v>
      </c>
      <c r="H911" s="243"/>
    </row>
    <row r="912" s="34" customFormat="1" spans="1:8">
      <c r="A912" s="50">
        <v>2140127</v>
      </c>
      <c r="B912" s="251" t="s">
        <v>752</v>
      </c>
      <c r="C912" s="243"/>
      <c r="D912" s="243"/>
      <c r="E912" s="243"/>
      <c r="F912" s="24">
        <f t="shared" si="156"/>
        <v>0</v>
      </c>
      <c r="G912" s="24">
        <f t="shared" si="157"/>
        <v>0</v>
      </c>
      <c r="H912" s="243"/>
    </row>
    <row r="913" s="34" customFormat="1" spans="1:8">
      <c r="A913" s="50">
        <v>2140128</v>
      </c>
      <c r="B913" s="251" t="s">
        <v>753</v>
      </c>
      <c r="C913" s="243"/>
      <c r="D913" s="243"/>
      <c r="E913" s="243"/>
      <c r="F913" s="24">
        <f t="shared" si="156"/>
        <v>0</v>
      </c>
      <c r="G913" s="24">
        <f t="shared" si="157"/>
        <v>0</v>
      </c>
      <c r="H913" s="243"/>
    </row>
    <row r="914" s="34" customFormat="1" spans="1:8">
      <c r="A914" s="50">
        <v>2140129</v>
      </c>
      <c r="B914" s="251" t="s">
        <v>754</v>
      </c>
      <c r="C914" s="243"/>
      <c r="D914" s="243"/>
      <c r="E914" s="243"/>
      <c r="F914" s="24">
        <f t="shared" si="156"/>
        <v>0</v>
      </c>
      <c r="G914" s="24">
        <f t="shared" si="157"/>
        <v>0</v>
      </c>
      <c r="H914" s="243"/>
    </row>
    <row r="915" s="34" customFormat="1" spans="1:8">
      <c r="A915" s="50">
        <v>2140130</v>
      </c>
      <c r="B915" s="251" t="s">
        <v>755</v>
      </c>
      <c r="C915" s="243"/>
      <c r="D915" s="243"/>
      <c r="E915" s="243"/>
      <c r="F915" s="24">
        <f t="shared" si="156"/>
        <v>0</v>
      </c>
      <c r="G915" s="24">
        <f t="shared" si="157"/>
        <v>0</v>
      </c>
      <c r="H915" s="243"/>
    </row>
    <row r="916" s="34" customFormat="1" spans="1:8">
      <c r="A916" s="50">
        <v>2140131</v>
      </c>
      <c r="B916" s="251" t="s">
        <v>756</v>
      </c>
      <c r="C916" s="243"/>
      <c r="D916" s="243"/>
      <c r="E916" s="243"/>
      <c r="F916" s="24">
        <f t="shared" si="156"/>
        <v>0</v>
      </c>
      <c r="G916" s="24">
        <f t="shared" si="157"/>
        <v>0</v>
      </c>
      <c r="H916" s="243"/>
    </row>
    <row r="917" s="34" customFormat="1" spans="1:8">
      <c r="A917" s="50">
        <v>2140133</v>
      </c>
      <c r="B917" s="251" t="s">
        <v>757</v>
      </c>
      <c r="C917" s="243"/>
      <c r="D917" s="243"/>
      <c r="E917" s="243"/>
      <c r="F917" s="24">
        <f t="shared" si="156"/>
        <v>0</v>
      </c>
      <c r="G917" s="24">
        <f t="shared" si="157"/>
        <v>0</v>
      </c>
      <c r="H917" s="243"/>
    </row>
    <row r="918" s="34" customFormat="1" spans="1:8">
      <c r="A918" s="50">
        <v>2140136</v>
      </c>
      <c r="B918" s="251" t="s">
        <v>758</v>
      </c>
      <c r="C918" s="243"/>
      <c r="D918" s="243"/>
      <c r="E918" s="243"/>
      <c r="F918" s="24">
        <f t="shared" si="156"/>
        <v>0</v>
      </c>
      <c r="G918" s="24">
        <f t="shared" si="157"/>
        <v>0</v>
      </c>
      <c r="H918" s="243"/>
    </row>
    <row r="919" s="34" customFormat="1" spans="1:8">
      <c r="A919" s="50">
        <v>2140138</v>
      </c>
      <c r="B919" s="251" t="s">
        <v>759</v>
      </c>
      <c r="C919" s="243"/>
      <c r="D919" s="243"/>
      <c r="E919" s="243"/>
      <c r="F919" s="24">
        <f t="shared" si="156"/>
        <v>0</v>
      </c>
      <c r="G919" s="24">
        <f t="shared" si="157"/>
        <v>0</v>
      </c>
      <c r="H919" s="243"/>
    </row>
    <row r="920" s="34" customFormat="1" spans="1:8">
      <c r="A920" s="50">
        <v>2140199</v>
      </c>
      <c r="B920" s="251" t="s">
        <v>760</v>
      </c>
      <c r="C920" s="243">
        <v>78</v>
      </c>
      <c r="D920" s="243">
        <v>94</v>
      </c>
      <c r="E920" s="243"/>
      <c r="F920" s="24">
        <f t="shared" si="156"/>
        <v>0</v>
      </c>
      <c r="G920" s="24">
        <f t="shared" si="157"/>
        <v>0</v>
      </c>
      <c r="H920" s="243"/>
    </row>
    <row r="921" s="34" customFormat="1" spans="1:8">
      <c r="A921" s="50">
        <v>21402</v>
      </c>
      <c r="B921" s="251" t="s">
        <v>761</v>
      </c>
      <c r="C921" s="241">
        <f t="shared" ref="C921:H921" si="158">SUM(C922:C930)</f>
        <v>0</v>
      </c>
      <c r="D921" s="241">
        <f t="shared" si="158"/>
        <v>0</v>
      </c>
      <c r="E921" s="241">
        <f t="shared" si="158"/>
        <v>0</v>
      </c>
      <c r="F921" s="24">
        <f t="shared" si="156"/>
        <v>0</v>
      </c>
      <c r="G921" s="24">
        <f t="shared" si="157"/>
        <v>0</v>
      </c>
      <c r="H921" s="241">
        <f t="shared" si="158"/>
        <v>0</v>
      </c>
    </row>
    <row r="922" s="34" customFormat="1" spans="1:8">
      <c r="A922" s="50">
        <v>2140201</v>
      </c>
      <c r="B922" s="251" t="s">
        <v>68</v>
      </c>
      <c r="C922" s="243"/>
      <c r="D922" s="243"/>
      <c r="E922" s="243"/>
      <c r="F922" s="24">
        <f t="shared" si="156"/>
        <v>0</v>
      </c>
      <c r="G922" s="24">
        <f t="shared" si="157"/>
        <v>0</v>
      </c>
      <c r="H922" s="243"/>
    </row>
    <row r="923" s="34" customFormat="1" spans="1:8">
      <c r="A923" s="50">
        <v>2140202</v>
      </c>
      <c r="B923" s="251" t="s">
        <v>69</v>
      </c>
      <c r="C923" s="243"/>
      <c r="D923" s="243"/>
      <c r="E923" s="243"/>
      <c r="F923" s="24">
        <f t="shared" si="156"/>
        <v>0</v>
      </c>
      <c r="G923" s="24">
        <f t="shared" si="157"/>
        <v>0</v>
      </c>
      <c r="H923" s="243"/>
    </row>
    <row r="924" s="34" customFormat="1" spans="1:8">
      <c r="A924" s="50">
        <v>2140203</v>
      </c>
      <c r="B924" s="251" t="s">
        <v>70</v>
      </c>
      <c r="C924" s="243"/>
      <c r="D924" s="243"/>
      <c r="E924" s="243"/>
      <c r="F924" s="24">
        <f t="shared" si="156"/>
        <v>0</v>
      </c>
      <c r="G924" s="24">
        <f t="shared" si="157"/>
        <v>0</v>
      </c>
      <c r="H924" s="243"/>
    </row>
    <row r="925" s="34" customFormat="1" spans="1:8">
      <c r="A925" s="50">
        <v>2140204</v>
      </c>
      <c r="B925" s="251" t="s">
        <v>762</v>
      </c>
      <c r="C925" s="243"/>
      <c r="D925" s="243"/>
      <c r="E925" s="243"/>
      <c r="F925" s="24">
        <f t="shared" si="156"/>
        <v>0</v>
      </c>
      <c r="G925" s="24">
        <f t="shared" si="157"/>
        <v>0</v>
      </c>
      <c r="H925" s="243"/>
    </row>
    <row r="926" s="34" customFormat="1" spans="1:8">
      <c r="A926" s="50">
        <v>2140205</v>
      </c>
      <c r="B926" s="251" t="s">
        <v>763</v>
      </c>
      <c r="C926" s="243"/>
      <c r="D926" s="243"/>
      <c r="E926" s="243"/>
      <c r="F926" s="24">
        <f t="shared" si="156"/>
        <v>0</v>
      </c>
      <c r="G926" s="24">
        <f t="shared" si="157"/>
        <v>0</v>
      </c>
      <c r="H926" s="243"/>
    </row>
    <row r="927" s="34" customFormat="1" spans="1:8">
      <c r="A927" s="50">
        <v>2140206</v>
      </c>
      <c r="B927" s="251" t="s">
        <v>764</v>
      </c>
      <c r="C927" s="243"/>
      <c r="D927" s="243"/>
      <c r="E927" s="243"/>
      <c r="F927" s="24">
        <f t="shared" si="156"/>
        <v>0</v>
      </c>
      <c r="G927" s="24">
        <f t="shared" si="157"/>
        <v>0</v>
      </c>
      <c r="H927" s="243"/>
    </row>
    <row r="928" s="34" customFormat="1" spans="1:8">
      <c r="A928" s="50">
        <v>2140207</v>
      </c>
      <c r="B928" s="251" t="s">
        <v>765</v>
      </c>
      <c r="C928" s="243"/>
      <c r="D928" s="243"/>
      <c r="E928" s="243"/>
      <c r="F928" s="24">
        <f t="shared" si="156"/>
        <v>0</v>
      </c>
      <c r="G928" s="24">
        <f t="shared" si="157"/>
        <v>0</v>
      </c>
      <c r="H928" s="243"/>
    </row>
    <row r="929" s="34" customFormat="1" spans="1:8">
      <c r="A929" s="50">
        <v>2140208</v>
      </c>
      <c r="B929" s="251" t="s">
        <v>766</v>
      </c>
      <c r="C929" s="243"/>
      <c r="D929" s="243"/>
      <c r="E929" s="243"/>
      <c r="F929" s="24">
        <f t="shared" si="156"/>
        <v>0</v>
      </c>
      <c r="G929" s="24">
        <f t="shared" si="157"/>
        <v>0</v>
      </c>
      <c r="H929" s="243"/>
    </row>
    <row r="930" s="34" customFormat="1" spans="1:8">
      <c r="A930" s="50">
        <v>2140299</v>
      </c>
      <c r="B930" s="251" t="s">
        <v>767</v>
      </c>
      <c r="C930" s="243"/>
      <c r="D930" s="243"/>
      <c r="E930" s="243"/>
      <c r="F930" s="24">
        <f t="shared" si="156"/>
        <v>0</v>
      </c>
      <c r="G930" s="24">
        <f t="shared" si="157"/>
        <v>0</v>
      </c>
      <c r="H930" s="243"/>
    </row>
    <row r="931" s="34" customFormat="1" spans="1:8">
      <c r="A931" s="50">
        <v>21403</v>
      </c>
      <c r="B931" s="251" t="s">
        <v>768</v>
      </c>
      <c r="C931" s="241">
        <f t="shared" ref="C931:H931" si="159">SUM(C932:C940)</f>
        <v>0</v>
      </c>
      <c r="D931" s="241">
        <f t="shared" si="159"/>
        <v>0</v>
      </c>
      <c r="E931" s="241">
        <f t="shared" si="159"/>
        <v>0</v>
      </c>
      <c r="F931" s="24">
        <f t="shared" si="156"/>
        <v>0</v>
      </c>
      <c r="G931" s="24">
        <f t="shared" si="157"/>
        <v>0</v>
      </c>
      <c r="H931" s="241">
        <f t="shared" si="159"/>
        <v>0</v>
      </c>
    </row>
    <row r="932" s="34" customFormat="1" spans="1:8">
      <c r="A932" s="50">
        <v>2140301</v>
      </c>
      <c r="B932" s="251" t="s">
        <v>68</v>
      </c>
      <c r="C932" s="243"/>
      <c r="D932" s="243"/>
      <c r="E932" s="243"/>
      <c r="F932" s="24">
        <f t="shared" si="156"/>
        <v>0</v>
      </c>
      <c r="G932" s="24">
        <f t="shared" si="157"/>
        <v>0</v>
      </c>
      <c r="H932" s="243"/>
    </row>
    <row r="933" s="34" customFormat="1" spans="1:8">
      <c r="A933" s="50">
        <v>2140302</v>
      </c>
      <c r="B933" s="251" t="s">
        <v>69</v>
      </c>
      <c r="C933" s="243"/>
      <c r="D933" s="243"/>
      <c r="E933" s="243"/>
      <c r="F933" s="24">
        <f t="shared" si="156"/>
        <v>0</v>
      </c>
      <c r="G933" s="24">
        <f t="shared" si="157"/>
        <v>0</v>
      </c>
      <c r="H933" s="243"/>
    </row>
    <row r="934" s="34" customFormat="1" spans="1:8">
      <c r="A934" s="50">
        <v>2140303</v>
      </c>
      <c r="B934" s="251" t="s">
        <v>70</v>
      </c>
      <c r="C934" s="243"/>
      <c r="D934" s="243"/>
      <c r="E934" s="243"/>
      <c r="F934" s="24">
        <f t="shared" si="156"/>
        <v>0</v>
      </c>
      <c r="G934" s="24">
        <f t="shared" si="157"/>
        <v>0</v>
      </c>
      <c r="H934" s="243"/>
    </row>
    <row r="935" s="34" customFormat="1" spans="1:8">
      <c r="A935" s="50">
        <v>2140304</v>
      </c>
      <c r="B935" s="251" t="s">
        <v>769</v>
      </c>
      <c r="C935" s="243"/>
      <c r="D935" s="243"/>
      <c r="E935" s="243"/>
      <c r="F935" s="24">
        <f t="shared" si="156"/>
        <v>0</v>
      </c>
      <c r="G935" s="24">
        <f t="shared" si="157"/>
        <v>0</v>
      </c>
      <c r="H935" s="243"/>
    </row>
    <row r="936" s="34" customFormat="1" spans="1:8">
      <c r="A936" s="50">
        <v>2140305</v>
      </c>
      <c r="B936" s="251" t="s">
        <v>770</v>
      </c>
      <c r="C936" s="243"/>
      <c r="D936" s="243"/>
      <c r="E936" s="243"/>
      <c r="F936" s="24">
        <f t="shared" si="156"/>
        <v>0</v>
      </c>
      <c r="G936" s="24">
        <f t="shared" si="157"/>
        <v>0</v>
      </c>
      <c r="H936" s="243"/>
    </row>
    <row r="937" s="34" customFormat="1" spans="1:8">
      <c r="A937" s="50">
        <v>2140306</v>
      </c>
      <c r="B937" s="251" t="s">
        <v>771</v>
      </c>
      <c r="C937" s="243"/>
      <c r="D937" s="243"/>
      <c r="E937" s="243"/>
      <c r="F937" s="24">
        <f t="shared" si="156"/>
        <v>0</v>
      </c>
      <c r="G937" s="24">
        <f t="shared" si="157"/>
        <v>0</v>
      </c>
      <c r="H937" s="243"/>
    </row>
    <row r="938" s="34" customFormat="1" spans="1:8">
      <c r="A938" s="50">
        <v>2140307</v>
      </c>
      <c r="B938" s="251" t="s">
        <v>772</v>
      </c>
      <c r="C938" s="243"/>
      <c r="D938" s="243"/>
      <c r="E938" s="243"/>
      <c r="F938" s="24">
        <f t="shared" si="156"/>
        <v>0</v>
      </c>
      <c r="G938" s="24">
        <f t="shared" si="157"/>
        <v>0</v>
      </c>
      <c r="H938" s="243"/>
    </row>
    <row r="939" s="34" customFormat="1" spans="1:8">
      <c r="A939" s="50">
        <v>2140308</v>
      </c>
      <c r="B939" s="251" t="s">
        <v>773</v>
      </c>
      <c r="C939" s="243"/>
      <c r="D939" s="243"/>
      <c r="E939" s="243"/>
      <c r="F939" s="24">
        <f t="shared" si="156"/>
        <v>0</v>
      </c>
      <c r="G939" s="24">
        <f t="shared" si="157"/>
        <v>0</v>
      </c>
      <c r="H939" s="243"/>
    </row>
    <row r="940" s="34" customFormat="1" spans="1:8">
      <c r="A940" s="50">
        <v>2140399</v>
      </c>
      <c r="B940" s="251" t="s">
        <v>774</v>
      </c>
      <c r="C940" s="243"/>
      <c r="D940" s="243"/>
      <c r="E940" s="243"/>
      <c r="F940" s="24">
        <f t="shared" si="156"/>
        <v>0</v>
      </c>
      <c r="G940" s="24">
        <f t="shared" si="157"/>
        <v>0</v>
      </c>
      <c r="H940" s="243"/>
    </row>
    <row r="941" s="34" customFormat="1" spans="1:8">
      <c r="A941" s="50">
        <v>21405</v>
      </c>
      <c r="B941" s="251" t="s">
        <v>775</v>
      </c>
      <c r="C941" s="241">
        <f t="shared" ref="C941:H941" si="160">SUM(C942:C947)</f>
        <v>0</v>
      </c>
      <c r="D941" s="241">
        <f t="shared" si="160"/>
        <v>0</v>
      </c>
      <c r="E941" s="241">
        <f t="shared" si="160"/>
        <v>0</v>
      </c>
      <c r="F941" s="24">
        <f t="shared" si="156"/>
        <v>0</v>
      </c>
      <c r="G941" s="24">
        <f t="shared" si="157"/>
        <v>0</v>
      </c>
      <c r="H941" s="241">
        <f t="shared" si="160"/>
        <v>0</v>
      </c>
    </row>
    <row r="942" s="34" customFormat="1" spans="1:8">
      <c r="A942" s="50">
        <v>2140501</v>
      </c>
      <c r="B942" s="251" t="s">
        <v>68</v>
      </c>
      <c r="C942" s="243"/>
      <c r="D942" s="243"/>
      <c r="E942" s="243"/>
      <c r="F942" s="24">
        <f t="shared" si="156"/>
        <v>0</v>
      </c>
      <c r="G942" s="24">
        <f t="shared" si="157"/>
        <v>0</v>
      </c>
      <c r="H942" s="243"/>
    </row>
    <row r="943" s="34" customFormat="1" spans="1:8">
      <c r="A943" s="50">
        <v>2140502</v>
      </c>
      <c r="B943" s="251" t="s">
        <v>69</v>
      </c>
      <c r="C943" s="243"/>
      <c r="D943" s="243"/>
      <c r="E943" s="243"/>
      <c r="F943" s="24">
        <f t="shared" si="156"/>
        <v>0</v>
      </c>
      <c r="G943" s="24">
        <f t="shared" si="157"/>
        <v>0</v>
      </c>
      <c r="H943" s="243"/>
    </row>
    <row r="944" s="34" customFormat="1" spans="1:8">
      <c r="A944" s="50">
        <v>2140503</v>
      </c>
      <c r="B944" s="251" t="s">
        <v>70</v>
      </c>
      <c r="C944" s="243"/>
      <c r="D944" s="243"/>
      <c r="E944" s="243"/>
      <c r="F944" s="24">
        <f t="shared" si="156"/>
        <v>0</v>
      </c>
      <c r="G944" s="24">
        <f t="shared" si="157"/>
        <v>0</v>
      </c>
      <c r="H944" s="243"/>
    </row>
    <row r="945" s="34" customFormat="1" spans="1:8">
      <c r="A945" s="50">
        <v>2140504</v>
      </c>
      <c r="B945" s="251" t="s">
        <v>766</v>
      </c>
      <c r="C945" s="243"/>
      <c r="D945" s="243"/>
      <c r="E945" s="243"/>
      <c r="F945" s="24">
        <f t="shared" si="156"/>
        <v>0</v>
      </c>
      <c r="G945" s="24">
        <f t="shared" si="157"/>
        <v>0</v>
      </c>
      <c r="H945" s="243"/>
    </row>
    <row r="946" s="34" customFormat="1" spans="1:8">
      <c r="A946" s="50">
        <v>2140505</v>
      </c>
      <c r="B946" s="251" t="s">
        <v>776</v>
      </c>
      <c r="C946" s="52"/>
      <c r="D946" s="52"/>
      <c r="E946" s="52"/>
      <c r="F946" s="24">
        <f t="shared" si="156"/>
        <v>0</v>
      </c>
      <c r="G946" s="24">
        <f t="shared" si="157"/>
        <v>0</v>
      </c>
      <c r="H946" s="52"/>
    </row>
    <row r="947" s="34" customFormat="1" spans="1:8">
      <c r="A947" s="50">
        <v>2140599</v>
      </c>
      <c r="B947" s="251" t="s">
        <v>777</v>
      </c>
      <c r="C947" s="52"/>
      <c r="D947" s="52"/>
      <c r="E947" s="52"/>
      <c r="F947" s="24">
        <f t="shared" si="156"/>
        <v>0</v>
      </c>
      <c r="G947" s="24">
        <f t="shared" si="157"/>
        <v>0</v>
      </c>
      <c r="H947" s="52"/>
    </row>
    <row r="948" s="34" customFormat="1" spans="1:8">
      <c r="A948" s="50">
        <v>21406</v>
      </c>
      <c r="B948" s="251" t="s">
        <v>778</v>
      </c>
      <c r="C948" s="241">
        <f t="shared" ref="C948:H948" si="161">SUM(C949:C952)</f>
        <v>1132</v>
      </c>
      <c r="D948" s="241">
        <f t="shared" si="161"/>
        <v>3303</v>
      </c>
      <c r="E948" s="241">
        <f t="shared" si="161"/>
        <v>0</v>
      </c>
      <c r="F948" s="24">
        <f t="shared" si="156"/>
        <v>0</v>
      </c>
      <c r="G948" s="24">
        <f t="shared" si="157"/>
        <v>0</v>
      </c>
      <c r="H948" s="241">
        <f t="shared" si="161"/>
        <v>0</v>
      </c>
    </row>
    <row r="949" s="34" customFormat="1" spans="1:8">
      <c r="A949" s="50">
        <v>2140601</v>
      </c>
      <c r="B949" s="251" t="s">
        <v>779</v>
      </c>
      <c r="C949" s="243"/>
      <c r="D949" s="243">
        <v>2171</v>
      </c>
      <c r="E949" s="243"/>
      <c r="F949" s="24">
        <f t="shared" si="156"/>
        <v>0</v>
      </c>
      <c r="G949" s="24">
        <f t="shared" si="157"/>
        <v>0</v>
      </c>
      <c r="H949" s="243"/>
    </row>
    <row r="950" s="34" customFormat="1" spans="1:8">
      <c r="A950" s="50">
        <v>2140602</v>
      </c>
      <c r="B950" s="251" t="s">
        <v>780</v>
      </c>
      <c r="C950" s="243">
        <v>1132</v>
      </c>
      <c r="D950" s="243">
        <v>1132</v>
      </c>
      <c r="E950" s="243"/>
      <c r="F950" s="24">
        <f t="shared" si="156"/>
        <v>0</v>
      </c>
      <c r="G950" s="24">
        <f t="shared" si="157"/>
        <v>0</v>
      </c>
      <c r="H950" s="243"/>
    </row>
    <row r="951" s="34" customFormat="1" spans="1:8">
      <c r="A951" s="50">
        <v>2140603</v>
      </c>
      <c r="B951" s="251" t="s">
        <v>781</v>
      </c>
      <c r="C951" s="243"/>
      <c r="D951" s="243"/>
      <c r="E951" s="243"/>
      <c r="F951" s="24">
        <f t="shared" si="156"/>
        <v>0</v>
      </c>
      <c r="G951" s="24">
        <f t="shared" si="157"/>
        <v>0</v>
      </c>
      <c r="H951" s="243"/>
    </row>
    <row r="952" s="34" customFormat="1" spans="1:8">
      <c r="A952" s="50">
        <v>2140699</v>
      </c>
      <c r="B952" s="251" t="s">
        <v>782</v>
      </c>
      <c r="C952" s="243"/>
      <c r="D952" s="243"/>
      <c r="E952" s="243"/>
      <c r="F952" s="24">
        <f t="shared" si="156"/>
        <v>0</v>
      </c>
      <c r="G952" s="24">
        <f t="shared" si="157"/>
        <v>0</v>
      </c>
      <c r="H952" s="243"/>
    </row>
    <row r="953" s="34" customFormat="1" spans="1:8">
      <c r="A953" s="50">
        <v>21499</v>
      </c>
      <c r="B953" s="251" t="s">
        <v>783</v>
      </c>
      <c r="C953" s="241">
        <f t="shared" ref="C953:H953" si="162">SUM(C954:C955)</f>
        <v>0</v>
      </c>
      <c r="D953" s="241">
        <f t="shared" si="162"/>
        <v>21</v>
      </c>
      <c r="E953" s="241">
        <f t="shared" si="162"/>
        <v>0</v>
      </c>
      <c r="F953" s="24">
        <f t="shared" si="156"/>
        <v>0</v>
      </c>
      <c r="G953" s="24">
        <f t="shared" si="157"/>
        <v>0</v>
      </c>
      <c r="H953" s="241">
        <f t="shared" si="162"/>
        <v>0</v>
      </c>
    </row>
    <row r="954" s="34" customFormat="1" spans="1:8">
      <c r="A954" s="50">
        <v>2149901</v>
      </c>
      <c r="B954" s="251" t="s">
        <v>784</v>
      </c>
      <c r="C954" s="243"/>
      <c r="D954" s="243"/>
      <c r="E954" s="243"/>
      <c r="F954" s="24">
        <f t="shared" si="156"/>
        <v>0</v>
      </c>
      <c r="G954" s="24">
        <f t="shared" si="157"/>
        <v>0</v>
      </c>
      <c r="H954" s="243"/>
    </row>
    <row r="955" s="34" customFormat="1" spans="1:8">
      <c r="A955" s="50">
        <v>2149999</v>
      </c>
      <c r="B955" s="251" t="s">
        <v>785</v>
      </c>
      <c r="C955" s="243"/>
      <c r="D955" s="243">
        <v>21</v>
      </c>
      <c r="E955" s="243"/>
      <c r="F955" s="24">
        <f t="shared" si="156"/>
        <v>0</v>
      </c>
      <c r="G955" s="24">
        <f t="shared" si="157"/>
        <v>0</v>
      </c>
      <c r="H955" s="243"/>
    </row>
    <row r="956" s="34" customFormat="1" spans="1:8">
      <c r="A956" s="50">
        <v>215</v>
      </c>
      <c r="B956" s="251" t="s">
        <v>786</v>
      </c>
      <c r="C956" s="241">
        <f t="shared" ref="C956:H956" si="163">SUM(C957,C967,C983,C988,C999,C1006,C1014)</f>
        <v>200</v>
      </c>
      <c r="D956" s="241">
        <f t="shared" si="163"/>
        <v>394</v>
      </c>
      <c r="E956" s="241">
        <f t="shared" si="163"/>
        <v>294</v>
      </c>
      <c r="F956" s="24">
        <f t="shared" si="156"/>
        <v>147</v>
      </c>
      <c r="G956" s="24">
        <f t="shared" si="157"/>
        <v>74.6192893401015</v>
      </c>
      <c r="H956" s="241">
        <f t="shared" si="163"/>
        <v>0</v>
      </c>
    </row>
    <row r="957" s="34" customFormat="1" spans="1:8">
      <c r="A957" s="50">
        <v>21501</v>
      </c>
      <c r="B957" s="251" t="s">
        <v>787</v>
      </c>
      <c r="C957" s="241">
        <f t="shared" ref="C957:H957" si="164">SUM(C958:C966)</f>
        <v>0</v>
      </c>
      <c r="D957" s="241">
        <f t="shared" si="164"/>
        <v>0</v>
      </c>
      <c r="E957" s="241">
        <f t="shared" si="164"/>
        <v>0</v>
      </c>
      <c r="F957" s="24">
        <f t="shared" si="156"/>
        <v>0</v>
      </c>
      <c r="G957" s="24">
        <f t="shared" si="157"/>
        <v>0</v>
      </c>
      <c r="H957" s="241">
        <f t="shared" si="164"/>
        <v>0</v>
      </c>
    </row>
    <row r="958" s="34" customFormat="1" spans="1:8">
      <c r="A958" s="50">
        <v>2150101</v>
      </c>
      <c r="B958" s="251" t="s">
        <v>68</v>
      </c>
      <c r="C958" s="243"/>
      <c r="D958" s="243"/>
      <c r="E958" s="243"/>
      <c r="F958" s="24">
        <f t="shared" si="156"/>
        <v>0</v>
      </c>
      <c r="G958" s="24">
        <f t="shared" si="157"/>
        <v>0</v>
      </c>
      <c r="H958" s="243"/>
    </row>
    <row r="959" s="34" customFormat="1" spans="1:8">
      <c r="A959" s="50">
        <v>2150102</v>
      </c>
      <c r="B959" s="251" t="s">
        <v>69</v>
      </c>
      <c r="C959" s="243"/>
      <c r="D959" s="243"/>
      <c r="E959" s="243"/>
      <c r="F959" s="24">
        <f t="shared" si="156"/>
        <v>0</v>
      </c>
      <c r="G959" s="24">
        <f t="shared" si="157"/>
        <v>0</v>
      </c>
      <c r="H959" s="243"/>
    </row>
    <row r="960" s="34" customFormat="1" spans="1:8">
      <c r="A960" s="50">
        <v>2150103</v>
      </c>
      <c r="B960" s="251" t="s">
        <v>70</v>
      </c>
      <c r="C960" s="243"/>
      <c r="D960" s="243"/>
      <c r="E960" s="243"/>
      <c r="F960" s="24">
        <f t="shared" si="156"/>
        <v>0</v>
      </c>
      <c r="G960" s="24">
        <f t="shared" si="157"/>
        <v>0</v>
      </c>
      <c r="H960" s="243"/>
    </row>
    <row r="961" s="34" customFormat="1" spans="1:8">
      <c r="A961" s="50">
        <v>2150104</v>
      </c>
      <c r="B961" s="251" t="s">
        <v>788</v>
      </c>
      <c r="C961" s="243"/>
      <c r="D961" s="243"/>
      <c r="E961" s="243"/>
      <c r="F961" s="24">
        <f t="shared" si="156"/>
        <v>0</v>
      </c>
      <c r="G961" s="24">
        <f t="shared" si="157"/>
        <v>0</v>
      </c>
      <c r="H961" s="243"/>
    </row>
    <row r="962" s="34" customFormat="1" spans="1:8">
      <c r="A962" s="50">
        <v>2150105</v>
      </c>
      <c r="B962" s="251" t="s">
        <v>789</v>
      </c>
      <c r="C962" s="243"/>
      <c r="D962" s="243"/>
      <c r="E962" s="243"/>
      <c r="F962" s="24">
        <f t="shared" si="156"/>
        <v>0</v>
      </c>
      <c r="G962" s="24">
        <f t="shared" si="157"/>
        <v>0</v>
      </c>
      <c r="H962" s="243"/>
    </row>
    <row r="963" s="34" customFormat="1" spans="1:8">
      <c r="A963" s="50">
        <v>2150106</v>
      </c>
      <c r="B963" s="251" t="s">
        <v>790</v>
      </c>
      <c r="C963" s="243"/>
      <c r="D963" s="243"/>
      <c r="E963" s="243"/>
      <c r="F963" s="24">
        <f t="shared" si="156"/>
        <v>0</v>
      </c>
      <c r="G963" s="24">
        <f t="shared" si="157"/>
        <v>0</v>
      </c>
      <c r="H963" s="243"/>
    </row>
    <row r="964" s="34" customFormat="1" spans="1:8">
      <c r="A964" s="50">
        <v>2150107</v>
      </c>
      <c r="B964" s="251" t="s">
        <v>791</v>
      </c>
      <c r="C964" s="243"/>
      <c r="D964" s="243"/>
      <c r="E964" s="243"/>
      <c r="F964" s="24">
        <f t="shared" si="156"/>
        <v>0</v>
      </c>
      <c r="G964" s="24">
        <f t="shared" si="157"/>
        <v>0</v>
      </c>
      <c r="H964" s="243"/>
    </row>
    <row r="965" s="34" customFormat="1" spans="1:8">
      <c r="A965" s="50">
        <v>2150108</v>
      </c>
      <c r="B965" s="251" t="s">
        <v>792</v>
      </c>
      <c r="C965" s="243"/>
      <c r="D965" s="243"/>
      <c r="E965" s="243"/>
      <c r="F965" s="24">
        <f t="shared" si="156"/>
        <v>0</v>
      </c>
      <c r="G965" s="24">
        <f t="shared" si="157"/>
        <v>0</v>
      </c>
      <c r="H965" s="243"/>
    </row>
    <row r="966" s="34" customFormat="1" spans="1:8">
      <c r="A966" s="50">
        <v>2150199</v>
      </c>
      <c r="B966" s="251" t="s">
        <v>793</v>
      </c>
      <c r="C966" s="243"/>
      <c r="D966" s="243"/>
      <c r="E966" s="243"/>
      <c r="F966" s="24">
        <f t="shared" ref="F966:F1029" si="165">IF(C966&gt;0,E966/C966*100,)</f>
        <v>0</v>
      </c>
      <c r="G966" s="24">
        <f t="shared" ref="G966:G1029" si="166">IF(D966&gt;0,E966/D966*100,)</f>
        <v>0</v>
      </c>
      <c r="H966" s="243"/>
    </row>
    <row r="967" s="34" customFormat="1" spans="1:8">
      <c r="A967" s="50">
        <v>21502</v>
      </c>
      <c r="B967" s="251" t="s">
        <v>794</v>
      </c>
      <c r="C967" s="241">
        <f t="shared" ref="C967:H967" si="167">SUM(C968:C982)</f>
        <v>0</v>
      </c>
      <c r="D967" s="241">
        <f t="shared" si="167"/>
        <v>0</v>
      </c>
      <c r="E967" s="241">
        <f t="shared" si="167"/>
        <v>0</v>
      </c>
      <c r="F967" s="24">
        <f t="shared" si="165"/>
        <v>0</v>
      </c>
      <c r="G967" s="24">
        <f t="shared" si="166"/>
        <v>0</v>
      </c>
      <c r="H967" s="241">
        <f t="shared" si="167"/>
        <v>0</v>
      </c>
    </row>
    <row r="968" s="34" customFormat="1" spans="1:8">
      <c r="A968" s="50">
        <v>2150501</v>
      </c>
      <c r="B968" s="251" t="s">
        <v>68</v>
      </c>
      <c r="C968" s="243"/>
      <c r="D968" s="243"/>
      <c r="E968" s="243"/>
      <c r="F968" s="24">
        <f t="shared" si="165"/>
        <v>0</v>
      </c>
      <c r="G968" s="24">
        <f t="shared" si="166"/>
        <v>0</v>
      </c>
      <c r="H968" s="243"/>
    </row>
    <row r="969" s="34" customFormat="1" spans="1:8">
      <c r="A969" s="50">
        <v>2150502</v>
      </c>
      <c r="B969" s="251" t="s">
        <v>69</v>
      </c>
      <c r="C969" s="243"/>
      <c r="D969" s="243"/>
      <c r="E969" s="243"/>
      <c r="F969" s="24">
        <f t="shared" si="165"/>
        <v>0</v>
      </c>
      <c r="G969" s="24">
        <f t="shared" si="166"/>
        <v>0</v>
      </c>
      <c r="H969" s="243"/>
    </row>
    <row r="970" s="34" customFormat="1" spans="1:8">
      <c r="A970" s="50">
        <v>2150503</v>
      </c>
      <c r="B970" s="251" t="s">
        <v>70</v>
      </c>
      <c r="C970" s="243"/>
      <c r="D970" s="243"/>
      <c r="E970" s="243"/>
      <c r="F970" s="24">
        <f t="shared" si="165"/>
        <v>0</v>
      </c>
      <c r="G970" s="24">
        <f t="shared" si="166"/>
        <v>0</v>
      </c>
      <c r="H970" s="243"/>
    </row>
    <row r="971" s="34" customFormat="1" spans="1:8">
      <c r="A971" s="50">
        <v>2150504</v>
      </c>
      <c r="B971" s="251" t="s">
        <v>795</v>
      </c>
      <c r="C971" s="243"/>
      <c r="D971" s="243"/>
      <c r="E971" s="243"/>
      <c r="F971" s="24">
        <f t="shared" si="165"/>
        <v>0</v>
      </c>
      <c r="G971" s="24">
        <f t="shared" si="166"/>
        <v>0</v>
      </c>
      <c r="H971" s="243"/>
    </row>
    <row r="972" s="34" customFormat="1" spans="1:8">
      <c r="A972" s="50">
        <v>2150505</v>
      </c>
      <c r="B972" s="251" t="s">
        <v>796</v>
      </c>
      <c r="C972" s="243"/>
      <c r="D972" s="243"/>
      <c r="E972" s="243"/>
      <c r="F972" s="24">
        <f t="shared" si="165"/>
        <v>0</v>
      </c>
      <c r="G972" s="24">
        <f t="shared" si="166"/>
        <v>0</v>
      </c>
      <c r="H972" s="243"/>
    </row>
    <row r="973" s="34" customFormat="1" spans="1:8">
      <c r="A973" s="50">
        <v>2150506</v>
      </c>
      <c r="B973" s="251" t="s">
        <v>797</v>
      </c>
      <c r="C973" s="243"/>
      <c r="D973" s="243"/>
      <c r="E973" s="243"/>
      <c r="F973" s="24">
        <f t="shared" si="165"/>
        <v>0</v>
      </c>
      <c r="G973" s="24">
        <f t="shared" si="166"/>
        <v>0</v>
      </c>
      <c r="H973" s="243"/>
    </row>
    <row r="974" s="34" customFormat="1" spans="1:8">
      <c r="A974" s="50">
        <v>2150507</v>
      </c>
      <c r="B974" s="251" t="s">
        <v>798</v>
      </c>
      <c r="C974" s="243"/>
      <c r="D974" s="243"/>
      <c r="E974" s="243"/>
      <c r="F974" s="24">
        <f t="shared" si="165"/>
        <v>0</v>
      </c>
      <c r="G974" s="24">
        <f t="shared" si="166"/>
        <v>0</v>
      </c>
      <c r="H974" s="243"/>
    </row>
    <row r="975" s="34" customFormat="1" spans="1:8">
      <c r="A975" s="50">
        <v>2150508</v>
      </c>
      <c r="B975" s="251" t="s">
        <v>799</v>
      </c>
      <c r="C975" s="243"/>
      <c r="D975" s="243"/>
      <c r="E975" s="243"/>
      <c r="F975" s="24">
        <f t="shared" si="165"/>
        <v>0</v>
      </c>
      <c r="G975" s="24">
        <f t="shared" si="166"/>
        <v>0</v>
      </c>
      <c r="H975" s="243"/>
    </row>
    <row r="976" s="34" customFormat="1" spans="1:8">
      <c r="A976" s="50">
        <v>2150509</v>
      </c>
      <c r="B976" s="251" t="s">
        <v>800</v>
      </c>
      <c r="C976" s="243"/>
      <c r="D976" s="243"/>
      <c r="E976" s="243"/>
      <c r="F976" s="24">
        <f t="shared" si="165"/>
        <v>0</v>
      </c>
      <c r="G976" s="24">
        <f t="shared" si="166"/>
        <v>0</v>
      </c>
      <c r="H976" s="243"/>
    </row>
    <row r="977" s="34" customFormat="1" spans="1:8">
      <c r="A977" s="50">
        <v>2150510</v>
      </c>
      <c r="B977" s="251" t="s">
        <v>801</v>
      </c>
      <c r="C977" s="243"/>
      <c r="D977" s="243"/>
      <c r="E977" s="243"/>
      <c r="F977" s="24">
        <f t="shared" si="165"/>
        <v>0</v>
      </c>
      <c r="G977" s="24">
        <f t="shared" si="166"/>
        <v>0</v>
      </c>
      <c r="H977" s="243"/>
    </row>
    <row r="978" s="34" customFormat="1" spans="1:8">
      <c r="A978" s="50">
        <v>2150512</v>
      </c>
      <c r="B978" s="251" t="s">
        <v>802</v>
      </c>
      <c r="C978" s="243"/>
      <c r="D978" s="243"/>
      <c r="E978" s="243"/>
      <c r="F978" s="24">
        <f t="shared" si="165"/>
        <v>0</v>
      </c>
      <c r="G978" s="24">
        <f t="shared" si="166"/>
        <v>0</v>
      </c>
      <c r="H978" s="243"/>
    </row>
    <row r="979" s="34" customFormat="1" spans="1:8">
      <c r="A979" s="50">
        <v>2150513</v>
      </c>
      <c r="B979" s="251" t="s">
        <v>803</v>
      </c>
      <c r="C979" s="243"/>
      <c r="D979" s="243"/>
      <c r="E979" s="243"/>
      <c r="F979" s="24">
        <f t="shared" si="165"/>
        <v>0</v>
      </c>
      <c r="G979" s="24">
        <f t="shared" si="166"/>
        <v>0</v>
      </c>
      <c r="H979" s="243"/>
    </row>
    <row r="980" s="34" customFormat="1" spans="1:8">
      <c r="A980" s="50">
        <v>2150514</v>
      </c>
      <c r="B980" s="251" t="s">
        <v>804</v>
      </c>
      <c r="C980" s="243"/>
      <c r="D980" s="243"/>
      <c r="E980" s="243"/>
      <c r="F980" s="24">
        <f t="shared" si="165"/>
        <v>0</v>
      </c>
      <c r="G980" s="24">
        <f t="shared" si="166"/>
        <v>0</v>
      </c>
      <c r="H980" s="243"/>
    </row>
    <row r="981" s="34" customFormat="1" spans="1:8">
      <c r="A981" s="50">
        <v>2150515</v>
      </c>
      <c r="B981" s="251" t="s">
        <v>805</v>
      </c>
      <c r="C981" s="243"/>
      <c r="D981" s="243"/>
      <c r="E981" s="243"/>
      <c r="F981" s="24">
        <f t="shared" si="165"/>
        <v>0</v>
      </c>
      <c r="G981" s="24">
        <f t="shared" si="166"/>
        <v>0</v>
      </c>
      <c r="H981" s="243"/>
    </row>
    <row r="982" s="34" customFormat="1" spans="1:8">
      <c r="A982" s="50">
        <v>2150599</v>
      </c>
      <c r="B982" s="251" t="s">
        <v>806</v>
      </c>
      <c r="C982" s="243"/>
      <c r="D982" s="243"/>
      <c r="E982" s="243"/>
      <c r="F982" s="24">
        <f t="shared" si="165"/>
        <v>0</v>
      </c>
      <c r="G982" s="24">
        <f t="shared" si="166"/>
        <v>0</v>
      </c>
      <c r="H982" s="243"/>
    </row>
    <row r="983" s="34" customFormat="1" spans="1:8">
      <c r="A983" s="50">
        <v>21503</v>
      </c>
      <c r="B983" s="251" t="s">
        <v>807</v>
      </c>
      <c r="C983" s="241">
        <f t="shared" ref="C983:H983" si="168">SUM(C984:C987)</f>
        <v>0</v>
      </c>
      <c r="D983" s="241">
        <f t="shared" si="168"/>
        <v>0</v>
      </c>
      <c r="E983" s="241">
        <f t="shared" si="168"/>
        <v>0</v>
      </c>
      <c r="F983" s="24">
        <f t="shared" si="165"/>
        <v>0</v>
      </c>
      <c r="G983" s="24">
        <f t="shared" si="166"/>
        <v>0</v>
      </c>
      <c r="H983" s="241">
        <f t="shared" si="168"/>
        <v>0</v>
      </c>
    </row>
    <row r="984" s="34" customFormat="1" spans="1:8">
      <c r="A984" s="50">
        <v>2150301</v>
      </c>
      <c r="B984" s="251" t="s">
        <v>68</v>
      </c>
      <c r="C984" s="243"/>
      <c r="D984" s="243"/>
      <c r="E984" s="243"/>
      <c r="F984" s="24">
        <f t="shared" si="165"/>
        <v>0</v>
      </c>
      <c r="G984" s="24">
        <f t="shared" si="166"/>
        <v>0</v>
      </c>
      <c r="H984" s="243"/>
    </row>
    <row r="985" s="34" customFormat="1" spans="1:8">
      <c r="A985" s="50">
        <v>2150302</v>
      </c>
      <c r="B985" s="251" t="s">
        <v>69</v>
      </c>
      <c r="C985" s="243"/>
      <c r="D985" s="243"/>
      <c r="E985" s="243"/>
      <c r="F985" s="24">
        <f t="shared" si="165"/>
        <v>0</v>
      </c>
      <c r="G985" s="24">
        <f t="shared" si="166"/>
        <v>0</v>
      </c>
      <c r="H985" s="243"/>
    </row>
    <row r="986" s="34" customFormat="1" spans="1:8">
      <c r="A986" s="50">
        <v>2150303</v>
      </c>
      <c r="B986" s="251" t="s">
        <v>70</v>
      </c>
      <c r="C986" s="243"/>
      <c r="D986" s="243"/>
      <c r="E986" s="243"/>
      <c r="F986" s="24">
        <f t="shared" si="165"/>
        <v>0</v>
      </c>
      <c r="G986" s="24">
        <f t="shared" si="166"/>
        <v>0</v>
      </c>
      <c r="H986" s="243"/>
    </row>
    <row r="987" s="34" customFormat="1" spans="1:8">
      <c r="A987" s="50">
        <v>2150399</v>
      </c>
      <c r="B987" s="251" t="s">
        <v>808</v>
      </c>
      <c r="C987" s="243"/>
      <c r="D987" s="243"/>
      <c r="E987" s="243"/>
      <c r="F987" s="24">
        <f t="shared" si="165"/>
        <v>0</v>
      </c>
      <c r="G987" s="24">
        <f t="shared" si="166"/>
        <v>0</v>
      </c>
      <c r="H987" s="243"/>
    </row>
    <row r="988" s="34" customFormat="1" spans="1:8">
      <c r="A988" s="50">
        <v>21505</v>
      </c>
      <c r="B988" s="251" t="s">
        <v>809</v>
      </c>
      <c r="C988" s="241">
        <f t="shared" ref="C988:H988" si="169">SUM(C989:C998)</f>
        <v>0</v>
      </c>
      <c r="D988" s="241">
        <f t="shared" si="169"/>
        <v>0</v>
      </c>
      <c r="E988" s="241">
        <f t="shared" si="169"/>
        <v>0</v>
      </c>
      <c r="F988" s="24">
        <f t="shared" si="165"/>
        <v>0</v>
      </c>
      <c r="G988" s="24">
        <f t="shared" si="166"/>
        <v>0</v>
      </c>
      <c r="H988" s="241">
        <f t="shared" si="169"/>
        <v>0</v>
      </c>
    </row>
    <row r="989" s="34" customFormat="1" spans="1:8">
      <c r="A989" s="50">
        <v>2150501</v>
      </c>
      <c r="B989" s="251" t="s">
        <v>68</v>
      </c>
      <c r="C989" s="243"/>
      <c r="D989" s="243"/>
      <c r="E989" s="243"/>
      <c r="F989" s="24">
        <f t="shared" si="165"/>
        <v>0</v>
      </c>
      <c r="G989" s="24">
        <f t="shared" si="166"/>
        <v>0</v>
      </c>
      <c r="H989" s="243"/>
    </row>
    <row r="990" s="34" customFormat="1" spans="1:8">
      <c r="A990" s="50">
        <v>2150502</v>
      </c>
      <c r="B990" s="251" t="s">
        <v>69</v>
      </c>
      <c r="C990" s="243"/>
      <c r="D990" s="243"/>
      <c r="E990" s="243"/>
      <c r="F990" s="24">
        <f t="shared" si="165"/>
        <v>0</v>
      </c>
      <c r="G990" s="24">
        <f t="shared" si="166"/>
        <v>0</v>
      </c>
      <c r="H990" s="243"/>
    </row>
    <row r="991" s="34" customFormat="1" spans="1:8">
      <c r="A991" s="50">
        <v>2150503</v>
      </c>
      <c r="B991" s="251" t="s">
        <v>70</v>
      </c>
      <c r="C991" s="243"/>
      <c r="D991" s="243"/>
      <c r="E991" s="243"/>
      <c r="F991" s="24">
        <f t="shared" si="165"/>
        <v>0</v>
      </c>
      <c r="G991" s="24">
        <f t="shared" si="166"/>
        <v>0</v>
      </c>
      <c r="H991" s="243"/>
    </row>
    <row r="992" s="34" customFormat="1" spans="1:8">
      <c r="A992" s="50">
        <v>2150505</v>
      </c>
      <c r="B992" s="251" t="s">
        <v>810</v>
      </c>
      <c r="C992" s="243"/>
      <c r="D992" s="243"/>
      <c r="E992" s="243"/>
      <c r="F992" s="24">
        <f t="shared" si="165"/>
        <v>0</v>
      </c>
      <c r="G992" s="24">
        <f t="shared" si="166"/>
        <v>0</v>
      </c>
      <c r="H992" s="243"/>
    </row>
    <row r="993" s="34" customFormat="1" spans="1:8">
      <c r="A993" s="50">
        <v>2150507</v>
      </c>
      <c r="B993" s="251" t="s">
        <v>811</v>
      </c>
      <c r="C993" s="243"/>
      <c r="D993" s="243"/>
      <c r="E993" s="243"/>
      <c r="F993" s="24">
        <f t="shared" si="165"/>
        <v>0</v>
      </c>
      <c r="G993" s="24">
        <f t="shared" si="166"/>
        <v>0</v>
      </c>
      <c r="H993" s="243"/>
    </row>
    <row r="994" s="34" customFormat="1" spans="1:8">
      <c r="A994" s="50">
        <v>2150508</v>
      </c>
      <c r="B994" s="251" t="s">
        <v>812</v>
      </c>
      <c r="C994" s="243"/>
      <c r="D994" s="243"/>
      <c r="E994" s="243"/>
      <c r="F994" s="24">
        <f t="shared" si="165"/>
        <v>0</v>
      </c>
      <c r="G994" s="24">
        <f t="shared" si="166"/>
        <v>0</v>
      </c>
      <c r="H994" s="243"/>
    </row>
    <row r="995" s="34" customFormat="1" spans="1:8">
      <c r="A995" s="50">
        <v>2150516</v>
      </c>
      <c r="B995" s="251" t="s">
        <v>813</v>
      </c>
      <c r="C995" s="243"/>
      <c r="D995" s="243"/>
      <c r="E995" s="243"/>
      <c r="F995" s="24">
        <f t="shared" si="165"/>
        <v>0</v>
      </c>
      <c r="G995" s="24">
        <f t="shared" si="166"/>
        <v>0</v>
      </c>
      <c r="H995" s="243"/>
    </row>
    <row r="996" s="34" customFormat="1" spans="1:8">
      <c r="A996" s="50">
        <v>2150517</v>
      </c>
      <c r="B996" s="251" t="s">
        <v>814</v>
      </c>
      <c r="C996" s="243"/>
      <c r="D996" s="243"/>
      <c r="E996" s="243"/>
      <c r="F996" s="24">
        <f t="shared" si="165"/>
        <v>0</v>
      </c>
      <c r="G996" s="24">
        <f t="shared" si="166"/>
        <v>0</v>
      </c>
      <c r="H996" s="243"/>
    </row>
    <row r="997" s="34" customFormat="1" spans="1:8">
      <c r="A997" s="50">
        <v>2150550</v>
      </c>
      <c r="B997" s="251" t="s">
        <v>77</v>
      </c>
      <c r="C997" s="243"/>
      <c r="D997" s="243"/>
      <c r="E997" s="243"/>
      <c r="F997" s="24">
        <f t="shared" si="165"/>
        <v>0</v>
      </c>
      <c r="G997" s="24">
        <f t="shared" si="166"/>
        <v>0</v>
      </c>
      <c r="H997" s="243"/>
    </row>
    <row r="998" s="34" customFormat="1" spans="1:8">
      <c r="A998" s="50">
        <v>2150599</v>
      </c>
      <c r="B998" s="251" t="s">
        <v>815</v>
      </c>
      <c r="C998" s="243"/>
      <c r="D998" s="243"/>
      <c r="E998" s="243"/>
      <c r="F998" s="24">
        <f t="shared" si="165"/>
        <v>0</v>
      </c>
      <c r="G998" s="24">
        <f t="shared" si="166"/>
        <v>0</v>
      </c>
      <c r="H998" s="243"/>
    </row>
    <row r="999" s="34" customFormat="1" spans="1:8">
      <c r="A999" s="50">
        <v>21507</v>
      </c>
      <c r="B999" s="251" t="s">
        <v>816</v>
      </c>
      <c r="C999" s="241">
        <f t="shared" ref="C999:H999" si="170">SUM(C1000:C1005)</f>
        <v>0</v>
      </c>
      <c r="D999" s="241">
        <f t="shared" si="170"/>
        <v>0</v>
      </c>
      <c r="E999" s="241">
        <f t="shared" si="170"/>
        <v>0</v>
      </c>
      <c r="F999" s="24">
        <f t="shared" si="165"/>
        <v>0</v>
      </c>
      <c r="G999" s="24">
        <f t="shared" si="166"/>
        <v>0</v>
      </c>
      <c r="H999" s="241">
        <f t="shared" si="170"/>
        <v>0</v>
      </c>
    </row>
    <row r="1000" s="34" customFormat="1" spans="1:8">
      <c r="A1000" s="50">
        <v>2150701</v>
      </c>
      <c r="B1000" s="251" t="s">
        <v>68</v>
      </c>
      <c r="C1000" s="243"/>
      <c r="D1000" s="243"/>
      <c r="E1000" s="243"/>
      <c r="F1000" s="24">
        <f t="shared" si="165"/>
        <v>0</v>
      </c>
      <c r="G1000" s="24">
        <f t="shared" si="166"/>
        <v>0</v>
      </c>
      <c r="H1000" s="243"/>
    </row>
    <row r="1001" s="34" customFormat="1" spans="1:8">
      <c r="A1001" s="50">
        <v>2150702</v>
      </c>
      <c r="B1001" s="251" t="s">
        <v>69</v>
      </c>
      <c r="C1001" s="243"/>
      <c r="D1001" s="243"/>
      <c r="E1001" s="243"/>
      <c r="F1001" s="24">
        <f t="shared" si="165"/>
        <v>0</v>
      </c>
      <c r="G1001" s="24">
        <f t="shared" si="166"/>
        <v>0</v>
      </c>
      <c r="H1001" s="243"/>
    </row>
    <row r="1002" s="34" customFormat="1" spans="1:8">
      <c r="A1002" s="50">
        <v>2150703</v>
      </c>
      <c r="B1002" s="251" t="s">
        <v>70</v>
      </c>
      <c r="C1002" s="243"/>
      <c r="D1002" s="243"/>
      <c r="E1002" s="243"/>
      <c r="F1002" s="24">
        <f t="shared" si="165"/>
        <v>0</v>
      </c>
      <c r="G1002" s="24">
        <f t="shared" si="166"/>
        <v>0</v>
      </c>
      <c r="H1002" s="243"/>
    </row>
    <row r="1003" s="34" customFormat="1" spans="1:8">
      <c r="A1003" s="50">
        <v>2150704</v>
      </c>
      <c r="B1003" s="251" t="s">
        <v>817</v>
      </c>
      <c r="C1003" s="243"/>
      <c r="D1003" s="243"/>
      <c r="E1003" s="243"/>
      <c r="F1003" s="24">
        <f t="shared" si="165"/>
        <v>0</v>
      </c>
      <c r="G1003" s="24">
        <f t="shared" si="166"/>
        <v>0</v>
      </c>
      <c r="H1003" s="243"/>
    </row>
    <row r="1004" s="34" customFormat="1" spans="1:8">
      <c r="A1004" s="50">
        <v>2150705</v>
      </c>
      <c r="B1004" s="251" t="s">
        <v>818</v>
      </c>
      <c r="C1004" s="243"/>
      <c r="D1004" s="243"/>
      <c r="E1004" s="243"/>
      <c r="F1004" s="24">
        <f t="shared" si="165"/>
        <v>0</v>
      </c>
      <c r="G1004" s="24">
        <f t="shared" si="166"/>
        <v>0</v>
      </c>
      <c r="H1004" s="243"/>
    </row>
    <row r="1005" s="34" customFormat="1" spans="1:8">
      <c r="A1005" s="50">
        <v>2150799</v>
      </c>
      <c r="B1005" s="251" t="s">
        <v>819</v>
      </c>
      <c r="C1005" s="243"/>
      <c r="D1005" s="243"/>
      <c r="E1005" s="243"/>
      <c r="F1005" s="24">
        <f t="shared" si="165"/>
        <v>0</v>
      </c>
      <c r="G1005" s="24">
        <f t="shared" si="166"/>
        <v>0</v>
      </c>
      <c r="H1005" s="243"/>
    </row>
    <row r="1006" s="34" customFormat="1" spans="1:8">
      <c r="A1006" s="50">
        <v>21508</v>
      </c>
      <c r="B1006" s="251" t="s">
        <v>820</v>
      </c>
      <c r="C1006" s="241">
        <f t="shared" ref="C1006:H1006" si="171">SUM(C1007:C1013)</f>
        <v>0</v>
      </c>
      <c r="D1006" s="241">
        <f t="shared" si="171"/>
        <v>0</v>
      </c>
      <c r="E1006" s="241">
        <f t="shared" si="171"/>
        <v>0</v>
      </c>
      <c r="F1006" s="24">
        <f t="shared" si="165"/>
        <v>0</v>
      </c>
      <c r="G1006" s="24">
        <f t="shared" si="166"/>
        <v>0</v>
      </c>
      <c r="H1006" s="241">
        <f t="shared" si="171"/>
        <v>0</v>
      </c>
    </row>
    <row r="1007" s="34" customFormat="1" spans="1:8">
      <c r="A1007" s="50">
        <v>2150801</v>
      </c>
      <c r="B1007" s="251" t="s">
        <v>68</v>
      </c>
      <c r="C1007" s="243"/>
      <c r="D1007" s="243"/>
      <c r="E1007" s="243"/>
      <c r="F1007" s="24">
        <f t="shared" si="165"/>
        <v>0</v>
      </c>
      <c r="G1007" s="24">
        <f t="shared" si="166"/>
        <v>0</v>
      </c>
      <c r="H1007" s="243"/>
    </row>
    <row r="1008" s="34" customFormat="1" spans="1:8">
      <c r="A1008" s="50">
        <v>2150802</v>
      </c>
      <c r="B1008" s="251" t="s">
        <v>69</v>
      </c>
      <c r="C1008" s="243"/>
      <c r="D1008" s="243"/>
      <c r="E1008" s="243"/>
      <c r="F1008" s="24">
        <f t="shared" si="165"/>
        <v>0</v>
      </c>
      <c r="G1008" s="24">
        <f t="shared" si="166"/>
        <v>0</v>
      </c>
      <c r="H1008" s="243"/>
    </row>
    <row r="1009" s="34" customFormat="1" spans="1:8">
      <c r="A1009" s="50">
        <v>2150803</v>
      </c>
      <c r="B1009" s="251" t="s">
        <v>70</v>
      </c>
      <c r="C1009" s="243"/>
      <c r="D1009" s="243"/>
      <c r="E1009" s="243"/>
      <c r="F1009" s="24">
        <f t="shared" si="165"/>
        <v>0</v>
      </c>
      <c r="G1009" s="24">
        <f t="shared" si="166"/>
        <v>0</v>
      </c>
      <c r="H1009" s="243"/>
    </row>
    <row r="1010" s="34" customFormat="1" spans="1:8">
      <c r="A1010" s="50">
        <v>2150804</v>
      </c>
      <c r="B1010" s="251" t="s">
        <v>821</v>
      </c>
      <c r="C1010" s="243"/>
      <c r="D1010" s="243"/>
      <c r="E1010" s="243"/>
      <c r="F1010" s="24">
        <f t="shared" si="165"/>
        <v>0</v>
      </c>
      <c r="G1010" s="24">
        <f t="shared" si="166"/>
        <v>0</v>
      </c>
      <c r="H1010" s="243"/>
    </row>
    <row r="1011" s="34" customFormat="1" spans="1:8">
      <c r="A1011" s="50">
        <v>2150805</v>
      </c>
      <c r="B1011" s="251" t="s">
        <v>822</v>
      </c>
      <c r="C1011" s="243"/>
      <c r="D1011" s="243"/>
      <c r="E1011" s="243"/>
      <c r="F1011" s="24">
        <f t="shared" si="165"/>
        <v>0</v>
      </c>
      <c r="G1011" s="24">
        <f t="shared" si="166"/>
        <v>0</v>
      </c>
      <c r="H1011" s="243"/>
    </row>
    <row r="1012" s="34" customFormat="1" spans="1:8">
      <c r="A1012" s="50">
        <v>2150806</v>
      </c>
      <c r="B1012" s="251" t="s">
        <v>823</v>
      </c>
      <c r="C1012" s="243"/>
      <c r="D1012" s="243"/>
      <c r="E1012" s="243"/>
      <c r="F1012" s="24">
        <f t="shared" si="165"/>
        <v>0</v>
      </c>
      <c r="G1012" s="24">
        <f t="shared" si="166"/>
        <v>0</v>
      </c>
      <c r="H1012" s="243"/>
    </row>
    <row r="1013" s="34" customFormat="1" spans="1:8">
      <c r="A1013" s="50">
        <v>2150899</v>
      </c>
      <c r="B1013" s="251" t="s">
        <v>824</v>
      </c>
      <c r="C1013" s="243"/>
      <c r="D1013" s="243"/>
      <c r="E1013" s="243"/>
      <c r="F1013" s="24">
        <f t="shared" si="165"/>
        <v>0</v>
      </c>
      <c r="G1013" s="24">
        <f t="shared" si="166"/>
        <v>0</v>
      </c>
      <c r="H1013" s="243"/>
    </row>
    <row r="1014" s="34" customFormat="1" spans="1:8">
      <c r="A1014" s="50">
        <v>21599</v>
      </c>
      <c r="B1014" s="251" t="s">
        <v>825</v>
      </c>
      <c r="C1014" s="241">
        <f t="shared" ref="C1014:H1014" si="172">SUM(C1015:C1019)</f>
        <v>200</v>
      </c>
      <c r="D1014" s="241">
        <f t="shared" si="172"/>
        <v>394</v>
      </c>
      <c r="E1014" s="241">
        <f t="shared" si="172"/>
        <v>294</v>
      </c>
      <c r="F1014" s="24">
        <f t="shared" si="165"/>
        <v>147</v>
      </c>
      <c r="G1014" s="24">
        <f t="shared" si="166"/>
        <v>74.6192893401015</v>
      </c>
      <c r="H1014" s="241">
        <f t="shared" si="172"/>
        <v>0</v>
      </c>
    </row>
    <row r="1015" s="34" customFormat="1" spans="1:8">
      <c r="A1015" s="50">
        <v>2159901</v>
      </c>
      <c r="B1015" s="251" t="s">
        <v>826</v>
      </c>
      <c r="C1015" s="243"/>
      <c r="D1015" s="243"/>
      <c r="E1015" s="243"/>
      <c r="F1015" s="24">
        <f t="shared" si="165"/>
        <v>0</v>
      </c>
      <c r="G1015" s="24">
        <f t="shared" si="166"/>
        <v>0</v>
      </c>
      <c r="H1015" s="243"/>
    </row>
    <row r="1016" s="34" customFormat="1" spans="1:8">
      <c r="A1016" s="50">
        <v>2159904</v>
      </c>
      <c r="B1016" s="251" t="s">
        <v>827</v>
      </c>
      <c r="C1016" s="243"/>
      <c r="D1016" s="243"/>
      <c r="E1016" s="243"/>
      <c r="F1016" s="24">
        <f t="shared" si="165"/>
        <v>0</v>
      </c>
      <c r="G1016" s="24">
        <f t="shared" si="166"/>
        <v>0</v>
      </c>
      <c r="H1016" s="243"/>
    </row>
    <row r="1017" s="34" customFormat="1" spans="1:8">
      <c r="A1017" s="50">
        <v>2159905</v>
      </c>
      <c r="B1017" s="251" t="s">
        <v>828</v>
      </c>
      <c r="C1017" s="243"/>
      <c r="D1017" s="243"/>
      <c r="E1017" s="243"/>
      <c r="F1017" s="24">
        <f t="shared" si="165"/>
        <v>0</v>
      </c>
      <c r="G1017" s="24">
        <f t="shared" si="166"/>
        <v>0</v>
      </c>
      <c r="H1017" s="243"/>
    </row>
    <row r="1018" s="34" customFormat="1" spans="1:8">
      <c r="A1018" s="50">
        <v>2159906</v>
      </c>
      <c r="B1018" s="251" t="s">
        <v>829</v>
      </c>
      <c r="C1018" s="243"/>
      <c r="D1018" s="243"/>
      <c r="E1018" s="243"/>
      <c r="F1018" s="24">
        <f t="shared" si="165"/>
        <v>0</v>
      </c>
      <c r="G1018" s="24">
        <f t="shared" si="166"/>
        <v>0</v>
      </c>
      <c r="H1018" s="243"/>
    </row>
    <row r="1019" s="34" customFormat="1" spans="1:8">
      <c r="A1019" s="50">
        <v>2159999</v>
      </c>
      <c r="B1019" s="251" t="s">
        <v>830</v>
      </c>
      <c r="C1019" s="243">
        <v>200</v>
      </c>
      <c r="D1019" s="243">
        <v>394</v>
      </c>
      <c r="E1019" s="243">
        <v>294</v>
      </c>
      <c r="F1019" s="24">
        <f t="shared" si="165"/>
        <v>147</v>
      </c>
      <c r="G1019" s="24">
        <f t="shared" si="166"/>
        <v>74.6192893401015</v>
      </c>
      <c r="H1019" s="243"/>
    </row>
    <row r="1020" s="34" customFormat="1" spans="1:8">
      <c r="A1020" s="50">
        <v>216</v>
      </c>
      <c r="B1020" s="251" t="s">
        <v>831</v>
      </c>
      <c r="C1020" s="241">
        <f t="shared" ref="C1020:H1020" si="173">SUM(C1021,C1031,C1037)</f>
        <v>172</v>
      </c>
      <c r="D1020" s="241">
        <f t="shared" si="173"/>
        <v>403</v>
      </c>
      <c r="E1020" s="241">
        <f t="shared" si="173"/>
        <v>210</v>
      </c>
      <c r="F1020" s="24">
        <f t="shared" si="165"/>
        <v>122.093023255814</v>
      </c>
      <c r="G1020" s="24">
        <f t="shared" si="166"/>
        <v>52.1091811414392</v>
      </c>
      <c r="H1020" s="241">
        <f t="shared" si="173"/>
        <v>0</v>
      </c>
    </row>
    <row r="1021" s="34" customFormat="1" spans="1:8">
      <c r="A1021" s="50">
        <v>21602</v>
      </c>
      <c r="B1021" s="251" t="s">
        <v>832</v>
      </c>
      <c r="C1021" s="241">
        <f t="shared" ref="C1021:H1021" si="174">SUM(C1022:C1030)</f>
        <v>172</v>
      </c>
      <c r="D1021" s="241">
        <f t="shared" si="174"/>
        <v>403</v>
      </c>
      <c r="E1021" s="241">
        <f t="shared" si="174"/>
        <v>210</v>
      </c>
      <c r="F1021" s="24">
        <f t="shared" si="165"/>
        <v>122.093023255814</v>
      </c>
      <c r="G1021" s="24">
        <f t="shared" si="166"/>
        <v>52.1091811414392</v>
      </c>
      <c r="H1021" s="241">
        <f t="shared" si="174"/>
        <v>0</v>
      </c>
    </row>
    <row r="1022" s="34" customFormat="1" spans="1:8">
      <c r="A1022" s="50">
        <v>2160201</v>
      </c>
      <c r="B1022" s="251" t="s">
        <v>68</v>
      </c>
      <c r="C1022" s="243">
        <v>141</v>
      </c>
      <c r="D1022" s="243">
        <v>119</v>
      </c>
      <c r="E1022" s="243">
        <v>135</v>
      </c>
      <c r="F1022" s="24">
        <f t="shared" si="165"/>
        <v>95.7446808510638</v>
      </c>
      <c r="G1022" s="24">
        <f t="shared" si="166"/>
        <v>113.44537815126</v>
      </c>
      <c r="H1022" s="243"/>
    </row>
    <row r="1023" s="34" customFormat="1" spans="1:8">
      <c r="A1023" s="50">
        <v>2160202</v>
      </c>
      <c r="B1023" s="251" t="s">
        <v>69</v>
      </c>
      <c r="C1023" s="243">
        <v>28</v>
      </c>
      <c r="D1023" s="243">
        <v>28</v>
      </c>
      <c r="E1023" s="243">
        <f>51+20</f>
        <v>71</v>
      </c>
      <c r="F1023" s="24">
        <f t="shared" si="165"/>
        <v>253.571428571429</v>
      </c>
      <c r="G1023" s="24">
        <f t="shared" si="166"/>
        <v>253.571428571429</v>
      </c>
      <c r="H1023" s="243"/>
    </row>
    <row r="1024" s="34" customFormat="1" spans="1:8">
      <c r="A1024" s="50">
        <v>2160203</v>
      </c>
      <c r="B1024" s="251" t="s">
        <v>70</v>
      </c>
      <c r="C1024" s="243">
        <v>0</v>
      </c>
      <c r="D1024" s="243">
        <v>0</v>
      </c>
      <c r="E1024" s="243"/>
      <c r="F1024" s="24">
        <f t="shared" si="165"/>
        <v>0</v>
      </c>
      <c r="G1024" s="24">
        <f t="shared" si="166"/>
        <v>0</v>
      </c>
      <c r="H1024" s="243"/>
    </row>
    <row r="1025" s="34" customFormat="1" spans="1:8">
      <c r="A1025" s="50">
        <v>2160216</v>
      </c>
      <c r="B1025" s="251" t="s">
        <v>833</v>
      </c>
      <c r="C1025" s="243">
        <v>0</v>
      </c>
      <c r="D1025" s="243">
        <v>0</v>
      </c>
      <c r="E1025" s="243"/>
      <c r="F1025" s="24">
        <f t="shared" si="165"/>
        <v>0</v>
      </c>
      <c r="G1025" s="24">
        <f t="shared" si="166"/>
        <v>0</v>
      </c>
      <c r="H1025" s="243"/>
    </row>
    <row r="1026" s="34" customFormat="1" spans="1:8">
      <c r="A1026" s="50">
        <v>2160217</v>
      </c>
      <c r="B1026" s="251" t="s">
        <v>834</v>
      </c>
      <c r="C1026" s="243">
        <v>0</v>
      </c>
      <c r="D1026" s="243">
        <v>0</v>
      </c>
      <c r="E1026" s="243"/>
      <c r="F1026" s="24">
        <f t="shared" si="165"/>
        <v>0</v>
      </c>
      <c r="G1026" s="24">
        <f t="shared" si="166"/>
        <v>0</v>
      </c>
      <c r="H1026" s="243"/>
    </row>
    <row r="1027" s="34" customFormat="1" spans="1:8">
      <c r="A1027" s="50">
        <v>2160218</v>
      </c>
      <c r="B1027" s="251" t="s">
        <v>835</v>
      </c>
      <c r="C1027" s="243">
        <v>0</v>
      </c>
      <c r="D1027" s="243">
        <v>0</v>
      </c>
      <c r="E1027" s="243"/>
      <c r="F1027" s="24">
        <f t="shared" si="165"/>
        <v>0</v>
      </c>
      <c r="G1027" s="24">
        <f t="shared" si="166"/>
        <v>0</v>
      </c>
      <c r="H1027" s="243"/>
    </row>
    <row r="1028" s="34" customFormat="1" spans="1:8">
      <c r="A1028" s="50">
        <v>2160219</v>
      </c>
      <c r="B1028" s="251" t="s">
        <v>836</v>
      </c>
      <c r="C1028" s="243">
        <v>0</v>
      </c>
      <c r="D1028" s="243">
        <v>0</v>
      </c>
      <c r="E1028" s="243"/>
      <c r="F1028" s="24">
        <f t="shared" si="165"/>
        <v>0</v>
      </c>
      <c r="G1028" s="24">
        <f t="shared" si="166"/>
        <v>0</v>
      </c>
      <c r="H1028" s="243"/>
    </row>
    <row r="1029" s="34" customFormat="1" spans="1:8">
      <c r="A1029" s="50">
        <v>2160250</v>
      </c>
      <c r="B1029" s="251" t="s">
        <v>77</v>
      </c>
      <c r="C1029" s="243">
        <v>0</v>
      </c>
      <c r="D1029" s="243">
        <v>0</v>
      </c>
      <c r="E1029" s="243"/>
      <c r="F1029" s="24">
        <f t="shared" si="165"/>
        <v>0</v>
      </c>
      <c r="G1029" s="24">
        <f t="shared" si="166"/>
        <v>0</v>
      </c>
      <c r="H1029" s="243"/>
    </row>
    <row r="1030" s="34" customFormat="1" spans="1:8">
      <c r="A1030" s="50">
        <v>2160299</v>
      </c>
      <c r="B1030" s="251" t="s">
        <v>837</v>
      </c>
      <c r="C1030" s="243">
        <v>3</v>
      </c>
      <c r="D1030" s="243">
        <v>256</v>
      </c>
      <c r="E1030" s="243">
        <v>4</v>
      </c>
      <c r="F1030" s="24">
        <f t="shared" ref="F1030:F1093" si="175">IF(C1030&gt;0,E1030/C1030*100,)</f>
        <v>133.333333333333</v>
      </c>
      <c r="G1030" s="24">
        <f t="shared" ref="G1030:G1093" si="176">IF(D1030&gt;0,E1030/D1030*100,)</f>
        <v>1.5625</v>
      </c>
      <c r="H1030" s="243"/>
    </row>
    <row r="1031" s="34" customFormat="1" spans="1:8">
      <c r="A1031" s="50">
        <v>21606</v>
      </c>
      <c r="B1031" s="251" t="s">
        <v>838</v>
      </c>
      <c r="C1031" s="241">
        <f t="shared" ref="C1031:H1031" si="177">SUM(C1032:C1036)</f>
        <v>0</v>
      </c>
      <c r="D1031" s="241">
        <f t="shared" si="177"/>
        <v>0</v>
      </c>
      <c r="E1031" s="241">
        <f t="shared" si="177"/>
        <v>0</v>
      </c>
      <c r="F1031" s="24">
        <f t="shared" si="175"/>
        <v>0</v>
      </c>
      <c r="G1031" s="24">
        <f t="shared" si="176"/>
        <v>0</v>
      </c>
      <c r="H1031" s="241">
        <f t="shared" si="177"/>
        <v>0</v>
      </c>
    </row>
    <row r="1032" s="34" customFormat="1" spans="1:8">
      <c r="A1032" s="50">
        <v>2160601</v>
      </c>
      <c r="B1032" s="251" t="s">
        <v>68</v>
      </c>
      <c r="C1032" s="243"/>
      <c r="D1032" s="243"/>
      <c r="E1032" s="243"/>
      <c r="F1032" s="24">
        <f t="shared" si="175"/>
        <v>0</v>
      </c>
      <c r="G1032" s="24">
        <f t="shared" si="176"/>
        <v>0</v>
      </c>
      <c r="H1032" s="243"/>
    </row>
    <row r="1033" s="34" customFormat="1" spans="1:8">
      <c r="A1033" s="50">
        <v>2160602</v>
      </c>
      <c r="B1033" s="251" t="s">
        <v>69</v>
      </c>
      <c r="C1033" s="243"/>
      <c r="D1033" s="243"/>
      <c r="E1033" s="243"/>
      <c r="F1033" s="24">
        <f t="shared" si="175"/>
        <v>0</v>
      </c>
      <c r="G1033" s="24">
        <f t="shared" si="176"/>
        <v>0</v>
      </c>
      <c r="H1033" s="243"/>
    </row>
    <row r="1034" s="34" customFormat="1" spans="1:8">
      <c r="A1034" s="50">
        <v>2160603</v>
      </c>
      <c r="B1034" s="251" t="s">
        <v>70</v>
      </c>
      <c r="C1034" s="243"/>
      <c r="D1034" s="243"/>
      <c r="E1034" s="243"/>
      <c r="F1034" s="24">
        <f t="shared" si="175"/>
        <v>0</v>
      </c>
      <c r="G1034" s="24">
        <f t="shared" si="176"/>
        <v>0</v>
      </c>
      <c r="H1034" s="243"/>
    </row>
    <row r="1035" s="34" customFormat="1" spans="1:8">
      <c r="A1035" s="50">
        <v>2160607</v>
      </c>
      <c r="B1035" s="251" t="s">
        <v>839</v>
      </c>
      <c r="C1035" s="243"/>
      <c r="D1035" s="243"/>
      <c r="E1035" s="243"/>
      <c r="F1035" s="24">
        <f t="shared" si="175"/>
        <v>0</v>
      </c>
      <c r="G1035" s="24">
        <f t="shared" si="176"/>
        <v>0</v>
      </c>
      <c r="H1035" s="243"/>
    </row>
    <row r="1036" s="34" customFormat="1" spans="1:8">
      <c r="A1036" s="50">
        <v>2160699</v>
      </c>
      <c r="B1036" s="251" t="s">
        <v>840</v>
      </c>
      <c r="C1036" s="243"/>
      <c r="D1036" s="243"/>
      <c r="E1036" s="243"/>
      <c r="F1036" s="24">
        <f t="shared" si="175"/>
        <v>0</v>
      </c>
      <c r="G1036" s="24">
        <f t="shared" si="176"/>
        <v>0</v>
      </c>
      <c r="H1036" s="243"/>
    </row>
    <row r="1037" s="34" customFormat="1" spans="1:8">
      <c r="A1037" s="50">
        <v>21699</v>
      </c>
      <c r="B1037" s="251" t="s">
        <v>841</v>
      </c>
      <c r="C1037" s="241">
        <f t="shared" ref="C1037:H1037" si="178">SUM(C1038:C1039)</f>
        <v>0</v>
      </c>
      <c r="D1037" s="241">
        <f t="shared" si="178"/>
        <v>0</v>
      </c>
      <c r="E1037" s="241">
        <f t="shared" si="178"/>
        <v>0</v>
      </c>
      <c r="F1037" s="24">
        <f t="shared" si="175"/>
        <v>0</v>
      </c>
      <c r="G1037" s="24">
        <f t="shared" si="176"/>
        <v>0</v>
      </c>
      <c r="H1037" s="241">
        <f t="shared" si="178"/>
        <v>0</v>
      </c>
    </row>
    <row r="1038" s="34" customFormat="1" spans="1:8">
      <c r="A1038" s="50">
        <v>2169901</v>
      </c>
      <c r="B1038" s="251" t="s">
        <v>842</v>
      </c>
      <c r="C1038" s="243"/>
      <c r="D1038" s="243"/>
      <c r="E1038" s="243"/>
      <c r="F1038" s="24">
        <f t="shared" si="175"/>
        <v>0</v>
      </c>
      <c r="G1038" s="24">
        <f t="shared" si="176"/>
        <v>0</v>
      </c>
      <c r="H1038" s="243"/>
    </row>
    <row r="1039" s="34" customFormat="1" spans="1:8">
      <c r="A1039" s="50">
        <v>2169999</v>
      </c>
      <c r="B1039" s="251" t="s">
        <v>843</v>
      </c>
      <c r="C1039" s="243"/>
      <c r="D1039" s="243"/>
      <c r="E1039" s="243"/>
      <c r="F1039" s="24">
        <f t="shared" si="175"/>
        <v>0</v>
      </c>
      <c r="G1039" s="24">
        <f t="shared" si="176"/>
        <v>0</v>
      </c>
      <c r="H1039" s="243"/>
    </row>
    <row r="1040" s="34" customFormat="1" spans="1:8">
      <c r="A1040" s="50">
        <v>217</v>
      </c>
      <c r="B1040" s="251" t="s">
        <v>844</v>
      </c>
      <c r="C1040" s="241">
        <f t="shared" ref="C1040:H1040" si="179">SUM(C1041,C1048,C1058,C1064,C1067)</f>
        <v>50</v>
      </c>
      <c r="D1040" s="241">
        <f t="shared" si="179"/>
        <v>1061</v>
      </c>
      <c r="E1040" s="241">
        <f t="shared" si="179"/>
        <v>67</v>
      </c>
      <c r="F1040" s="24">
        <f t="shared" si="175"/>
        <v>134</v>
      </c>
      <c r="G1040" s="24">
        <f t="shared" si="176"/>
        <v>6.31479736098021</v>
      </c>
      <c r="H1040" s="241">
        <f t="shared" si="179"/>
        <v>0</v>
      </c>
    </row>
    <row r="1041" s="34" customFormat="1" spans="1:8">
      <c r="A1041" s="50">
        <v>21701</v>
      </c>
      <c r="B1041" s="251" t="s">
        <v>845</v>
      </c>
      <c r="C1041" s="241">
        <f t="shared" ref="C1041:H1041" si="180">SUM(C1042:C1047)</f>
        <v>0</v>
      </c>
      <c r="D1041" s="241">
        <f t="shared" si="180"/>
        <v>0</v>
      </c>
      <c r="E1041" s="241">
        <f t="shared" si="180"/>
        <v>0</v>
      </c>
      <c r="F1041" s="24">
        <f t="shared" si="175"/>
        <v>0</v>
      </c>
      <c r="G1041" s="24">
        <f t="shared" si="176"/>
        <v>0</v>
      </c>
      <c r="H1041" s="241">
        <f t="shared" si="180"/>
        <v>0</v>
      </c>
    </row>
    <row r="1042" s="34" customFormat="1" spans="1:8">
      <c r="A1042" s="50">
        <v>2170101</v>
      </c>
      <c r="B1042" s="251" t="s">
        <v>68</v>
      </c>
      <c r="C1042" s="243"/>
      <c r="D1042" s="243"/>
      <c r="E1042" s="243"/>
      <c r="F1042" s="24">
        <f t="shared" si="175"/>
        <v>0</v>
      </c>
      <c r="G1042" s="24">
        <f t="shared" si="176"/>
        <v>0</v>
      </c>
      <c r="H1042" s="243"/>
    </row>
    <row r="1043" s="34" customFormat="1" spans="1:8">
      <c r="A1043" s="50">
        <v>2170102</v>
      </c>
      <c r="B1043" s="251" t="s">
        <v>69</v>
      </c>
      <c r="C1043" s="243"/>
      <c r="D1043" s="243"/>
      <c r="E1043" s="243"/>
      <c r="F1043" s="24">
        <f t="shared" si="175"/>
        <v>0</v>
      </c>
      <c r="G1043" s="24">
        <f t="shared" si="176"/>
        <v>0</v>
      </c>
      <c r="H1043" s="243"/>
    </row>
    <row r="1044" s="34" customFormat="1" spans="1:8">
      <c r="A1044" s="50">
        <v>2170103</v>
      </c>
      <c r="B1044" s="251" t="s">
        <v>70</v>
      </c>
      <c r="C1044" s="243"/>
      <c r="D1044" s="243"/>
      <c r="E1044" s="243"/>
      <c r="F1044" s="24">
        <f t="shared" si="175"/>
        <v>0</v>
      </c>
      <c r="G1044" s="24">
        <f t="shared" si="176"/>
        <v>0</v>
      </c>
      <c r="H1044" s="243"/>
    </row>
    <row r="1045" s="34" customFormat="1" spans="1:8">
      <c r="A1045" s="50">
        <v>2170104</v>
      </c>
      <c r="B1045" s="251" t="s">
        <v>846</v>
      </c>
      <c r="C1045" s="243"/>
      <c r="D1045" s="243"/>
      <c r="E1045" s="243"/>
      <c r="F1045" s="24">
        <f t="shared" si="175"/>
        <v>0</v>
      </c>
      <c r="G1045" s="24">
        <f t="shared" si="176"/>
        <v>0</v>
      </c>
      <c r="H1045" s="243"/>
    </row>
    <row r="1046" s="34" customFormat="1" spans="1:8">
      <c r="A1046" s="50">
        <v>2170150</v>
      </c>
      <c r="B1046" s="251" t="s">
        <v>77</v>
      </c>
      <c r="C1046" s="243"/>
      <c r="D1046" s="243"/>
      <c r="E1046" s="243"/>
      <c r="F1046" s="24">
        <f t="shared" si="175"/>
        <v>0</v>
      </c>
      <c r="G1046" s="24">
        <f t="shared" si="176"/>
        <v>0</v>
      </c>
      <c r="H1046" s="243"/>
    </row>
    <row r="1047" s="34" customFormat="1" spans="1:8">
      <c r="A1047" s="50">
        <v>2170199</v>
      </c>
      <c r="B1047" s="251" t="s">
        <v>847</v>
      </c>
      <c r="C1047" s="243"/>
      <c r="D1047" s="243"/>
      <c r="E1047" s="243"/>
      <c r="F1047" s="24">
        <f t="shared" si="175"/>
        <v>0</v>
      </c>
      <c r="G1047" s="24">
        <f t="shared" si="176"/>
        <v>0</v>
      </c>
      <c r="H1047" s="243"/>
    </row>
    <row r="1048" s="34" customFormat="1" spans="1:8">
      <c r="A1048" s="50">
        <v>21702</v>
      </c>
      <c r="B1048" s="251" t="s">
        <v>848</v>
      </c>
      <c r="C1048" s="241">
        <f t="shared" ref="C1048:H1048" si="181">SUM(C1049:C1057)</f>
        <v>0</v>
      </c>
      <c r="D1048" s="241">
        <f t="shared" si="181"/>
        <v>0</v>
      </c>
      <c r="E1048" s="241">
        <f t="shared" si="181"/>
        <v>0</v>
      </c>
      <c r="F1048" s="24">
        <f t="shared" si="175"/>
        <v>0</v>
      </c>
      <c r="G1048" s="24">
        <f t="shared" si="176"/>
        <v>0</v>
      </c>
      <c r="H1048" s="241">
        <f t="shared" si="181"/>
        <v>0</v>
      </c>
    </row>
    <row r="1049" s="34" customFormat="1" spans="1:8">
      <c r="A1049" s="50">
        <v>2170201</v>
      </c>
      <c r="B1049" s="251" t="s">
        <v>849</v>
      </c>
      <c r="C1049" s="243"/>
      <c r="D1049" s="243"/>
      <c r="E1049" s="243"/>
      <c r="F1049" s="24">
        <f t="shared" si="175"/>
        <v>0</v>
      </c>
      <c r="G1049" s="24">
        <f t="shared" si="176"/>
        <v>0</v>
      </c>
      <c r="H1049" s="243"/>
    </row>
    <row r="1050" s="34" customFormat="1" spans="1:8">
      <c r="A1050" s="50">
        <v>2170202</v>
      </c>
      <c r="B1050" s="251" t="s">
        <v>850</v>
      </c>
      <c r="C1050" s="243"/>
      <c r="D1050" s="243"/>
      <c r="E1050" s="243"/>
      <c r="F1050" s="24">
        <f t="shared" si="175"/>
        <v>0</v>
      </c>
      <c r="G1050" s="24">
        <f t="shared" si="176"/>
        <v>0</v>
      </c>
      <c r="H1050" s="243"/>
    </row>
    <row r="1051" s="34" customFormat="1" spans="1:8">
      <c r="A1051" s="50">
        <v>2170203</v>
      </c>
      <c r="B1051" s="251" t="s">
        <v>851</v>
      </c>
      <c r="C1051" s="243"/>
      <c r="D1051" s="243"/>
      <c r="E1051" s="243"/>
      <c r="F1051" s="24">
        <f t="shared" si="175"/>
        <v>0</v>
      </c>
      <c r="G1051" s="24">
        <f t="shared" si="176"/>
        <v>0</v>
      </c>
      <c r="H1051" s="243"/>
    </row>
    <row r="1052" s="34" customFormat="1" spans="1:8">
      <c r="A1052" s="50">
        <v>2170204</v>
      </c>
      <c r="B1052" s="251" t="s">
        <v>852</v>
      </c>
      <c r="C1052" s="243"/>
      <c r="D1052" s="243"/>
      <c r="E1052" s="243"/>
      <c r="F1052" s="24">
        <f t="shared" si="175"/>
        <v>0</v>
      </c>
      <c r="G1052" s="24">
        <f t="shared" si="176"/>
        <v>0</v>
      </c>
      <c r="H1052" s="243"/>
    </row>
    <row r="1053" s="34" customFormat="1" spans="1:8">
      <c r="A1053" s="50">
        <v>2170205</v>
      </c>
      <c r="B1053" s="251" t="s">
        <v>853</v>
      </c>
      <c r="C1053" s="243"/>
      <c r="D1053" s="243"/>
      <c r="E1053" s="243"/>
      <c r="F1053" s="24">
        <f t="shared" si="175"/>
        <v>0</v>
      </c>
      <c r="G1053" s="24">
        <f t="shared" si="176"/>
        <v>0</v>
      </c>
      <c r="H1053" s="243"/>
    </row>
    <row r="1054" s="34" customFormat="1" spans="1:8">
      <c r="A1054" s="50">
        <v>2170206</v>
      </c>
      <c r="B1054" s="251" t="s">
        <v>854</v>
      </c>
      <c r="C1054" s="243"/>
      <c r="D1054" s="243"/>
      <c r="E1054" s="243"/>
      <c r="F1054" s="24">
        <f t="shared" si="175"/>
        <v>0</v>
      </c>
      <c r="G1054" s="24">
        <f t="shared" si="176"/>
        <v>0</v>
      </c>
      <c r="H1054" s="243"/>
    </row>
    <row r="1055" s="34" customFormat="1" spans="1:8">
      <c r="A1055" s="50">
        <v>2170207</v>
      </c>
      <c r="B1055" s="251" t="s">
        <v>855</v>
      </c>
      <c r="C1055" s="243"/>
      <c r="D1055" s="243"/>
      <c r="E1055" s="243"/>
      <c r="F1055" s="24">
        <f t="shared" si="175"/>
        <v>0</v>
      </c>
      <c r="G1055" s="24">
        <f t="shared" si="176"/>
        <v>0</v>
      </c>
      <c r="H1055" s="243"/>
    </row>
    <row r="1056" s="34" customFormat="1" spans="1:8">
      <c r="A1056" s="50">
        <v>2170208</v>
      </c>
      <c r="B1056" s="251" t="s">
        <v>856</v>
      </c>
      <c r="C1056" s="243"/>
      <c r="D1056" s="243"/>
      <c r="E1056" s="243"/>
      <c r="F1056" s="24">
        <f t="shared" si="175"/>
        <v>0</v>
      </c>
      <c r="G1056" s="24">
        <f t="shared" si="176"/>
        <v>0</v>
      </c>
      <c r="H1056" s="243"/>
    </row>
    <row r="1057" s="34" customFormat="1" spans="1:8">
      <c r="A1057" s="50">
        <v>2170299</v>
      </c>
      <c r="B1057" s="251" t="s">
        <v>857</v>
      </c>
      <c r="C1057" s="243"/>
      <c r="D1057" s="243"/>
      <c r="E1057" s="243"/>
      <c r="F1057" s="24">
        <f t="shared" si="175"/>
        <v>0</v>
      </c>
      <c r="G1057" s="24">
        <f t="shared" si="176"/>
        <v>0</v>
      </c>
      <c r="H1057" s="243"/>
    </row>
    <row r="1058" s="34" customFormat="1" spans="1:8">
      <c r="A1058" s="50">
        <v>21703</v>
      </c>
      <c r="B1058" s="251" t="s">
        <v>858</v>
      </c>
      <c r="C1058" s="241">
        <f t="shared" ref="C1058:H1058" si="182">SUM(C1059:C1063)</f>
        <v>50</v>
      </c>
      <c r="D1058" s="241">
        <f t="shared" si="182"/>
        <v>1061</v>
      </c>
      <c r="E1058" s="241">
        <f t="shared" si="182"/>
        <v>67</v>
      </c>
      <c r="F1058" s="24">
        <f t="shared" si="175"/>
        <v>134</v>
      </c>
      <c r="G1058" s="24">
        <f t="shared" si="176"/>
        <v>6.31479736098021</v>
      </c>
      <c r="H1058" s="241">
        <f t="shared" si="182"/>
        <v>0</v>
      </c>
    </row>
    <row r="1059" s="34" customFormat="1" spans="1:8">
      <c r="A1059" s="50">
        <v>2170301</v>
      </c>
      <c r="B1059" s="251" t="s">
        <v>859</v>
      </c>
      <c r="C1059" s="243"/>
      <c r="D1059" s="243">
        <v>0</v>
      </c>
      <c r="E1059" s="243"/>
      <c r="F1059" s="24">
        <f t="shared" si="175"/>
        <v>0</v>
      </c>
      <c r="G1059" s="24">
        <f t="shared" si="176"/>
        <v>0</v>
      </c>
      <c r="H1059" s="243"/>
    </row>
    <row r="1060" s="34" customFormat="1" spans="1:8">
      <c r="A1060" s="50">
        <v>2170302</v>
      </c>
      <c r="B1060" s="34" t="s">
        <v>860</v>
      </c>
      <c r="C1060" s="243"/>
      <c r="D1060" s="243">
        <v>973</v>
      </c>
      <c r="E1060" s="243"/>
      <c r="F1060" s="24">
        <f t="shared" si="175"/>
        <v>0</v>
      </c>
      <c r="G1060" s="24">
        <f t="shared" si="176"/>
        <v>0</v>
      </c>
      <c r="H1060" s="243"/>
    </row>
    <row r="1061" s="34" customFormat="1" spans="1:8">
      <c r="A1061" s="50">
        <v>2170303</v>
      </c>
      <c r="B1061" s="251" t="s">
        <v>861</v>
      </c>
      <c r="C1061" s="243"/>
      <c r="D1061" s="243">
        <v>0</v>
      </c>
      <c r="E1061" s="243"/>
      <c r="F1061" s="24">
        <f t="shared" si="175"/>
        <v>0</v>
      </c>
      <c r="G1061" s="24">
        <f t="shared" si="176"/>
        <v>0</v>
      </c>
      <c r="H1061" s="243"/>
    </row>
    <row r="1062" s="34" customFormat="1" spans="1:8">
      <c r="A1062" s="50">
        <v>2170304</v>
      </c>
      <c r="B1062" s="251" t="s">
        <v>862</v>
      </c>
      <c r="C1062" s="243"/>
      <c r="D1062" s="243">
        <v>0</v>
      </c>
      <c r="E1062" s="243"/>
      <c r="F1062" s="24">
        <f t="shared" si="175"/>
        <v>0</v>
      </c>
      <c r="G1062" s="24">
        <f t="shared" si="176"/>
        <v>0</v>
      </c>
      <c r="H1062" s="243"/>
    </row>
    <row r="1063" s="34" customFormat="1" spans="1:8">
      <c r="A1063" s="50">
        <v>2170399</v>
      </c>
      <c r="B1063" s="251" t="s">
        <v>863</v>
      </c>
      <c r="C1063" s="243">
        <v>50</v>
      </c>
      <c r="D1063" s="243">
        <v>88</v>
      </c>
      <c r="E1063" s="243">
        <v>67</v>
      </c>
      <c r="F1063" s="24">
        <f t="shared" si="175"/>
        <v>134</v>
      </c>
      <c r="G1063" s="24">
        <f t="shared" si="176"/>
        <v>76.1363636363636</v>
      </c>
      <c r="H1063" s="243"/>
    </row>
    <row r="1064" s="34" customFormat="1" spans="1:8">
      <c r="A1064" s="50">
        <v>21704</v>
      </c>
      <c r="B1064" s="251" t="s">
        <v>864</v>
      </c>
      <c r="C1064" s="241">
        <f t="shared" ref="C1064:H1064" si="183">SUM(C1065:C1066)</f>
        <v>0</v>
      </c>
      <c r="D1064" s="241">
        <f t="shared" si="183"/>
        <v>0</v>
      </c>
      <c r="E1064" s="241">
        <f t="shared" si="183"/>
        <v>0</v>
      </c>
      <c r="F1064" s="24">
        <f t="shared" si="175"/>
        <v>0</v>
      </c>
      <c r="G1064" s="24">
        <f t="shared" si="176"/>
        <v>0</v>
      </c>
      <c r="H1064" s="241">
        <f t="shared" si="183"/>
        <v>0</v>
      </c>
    </row>
    <row r="1065" s="34" customFormat="1" spans="1:8">
      <c r="A1065" s="50">
        <v>2170401</v>
      </c>
      <c r="B1065" s="251" t="s">
        <v>865</v>
      </c>
      <c r="C1065" s="243"/>
      <c r="D1065" s="243"/>
      <c r="E1065" s="243"/>
      <c r="F1065" s="24">
        <f t="shared" si="175"/>
        <v>0</v>
      </c>
      <c r="G1065" s="24">
        <f t="shared" si="176"/>
        <v>0</v>
      </c>
      <c r="H1065" s="243"/>
    </row>
    <row r="1066" s="34" customFormat="1" spans="1:8">
      <c r="A1066" s="50">
        <v>2170499</v>
      </c>
      <c r="B1066" s="251" t="s">
        <v>866</v>
      </c>
      <c r="C1066" s="243"/>
      <c r="D1066" s="243"/>
      <c r="E1066" s="243"/>
      <c r="F1066" s="24">
        <f t="shared" si="175"/>
        <v>0</v>
      </c>
      <c r="G1066" s="24">
        <f t="shared" si="176"/>
        <v>0</v>
      </c>
      <c r="H1066" s="243"/>
    </row>
    <row r="1067" s="34" customFormat="1" spans="1:8">
      <c r="A1067" s="50">
        <v>21799</v>
      </c>
      <c r="B1067" s="251" t="s">
        <v>867</v>
      </c>
      <c r="C1067" s="241">
        <f t="shared" ref="C1067:H1067" si="184">SUM(C1068:C1069)</f>
        <v>0</v>
      </c>
      <c r="D1067" s="241">
        <f t="shared" si="184"/>
        <v>0</v>
      </c>
      <c r="E1067" s="241">
        <f t="shared" si="184"/>
        <v>0</v>
      </c>
      <c r="F1067" s="24">
        <f t="shared" si="175"/>
        <v>0</v>
      </c>
      <c r="G1067" s="24">
        <f t="shared" si="176"/>
        <v>0</v>
      </c>
      <c r="H1067" s="241">
        <f t="shared" si="184"/>
        <v>0</v>
      </c>
    </row>
    <row r="1068" s="34" customFormat="1" spans="1:8">
      <c r="A1068" s="50">
        <v>2179902</v>
      </c>
      <c r="B1068" s="251" t="s">
        <v>868</v>
      </c>
      <c r="C1068" s="243"/>
      <c r="D1068" s="243"/>
      <c r="E1068" s="243"/>
      <c r="F1068" s="24">
        <f t="shared" si="175"/>
        <v>0</v>
      </c>
      <c r="G1068" s="24">
        <f t="shared" si="176"/>
        <v>0</v>
      </c>
      <c r="H1068" s="243"/>
    </row>
    <row r="1069" s="34" customFormat="1" spans="1:8">
      <c r="A1069" s="50">
        <v>2179999</v>
      </c>
      <c r="B1069" s="251" t="s">
        <v>869</v>
      </c>
      <c r="C1069" s="243"/>
      <c r="D1069" s="243"/>
      <c r="E1069" s="243"/>
      <c r="F1069" s="24">
        <f t="shared" si="175"/>
        <v>0</v>
      </c>
      <c r="G1069" s="24">
        <f t="shared" si="176"/>
        <v>0</v>
      </c>
      <c r="H1069" s="243"/>
    </row>
    <row r="1070" s="34" customFormat="1" spans="1:8">
      <c r="A1070" s="50">
        <v>219</v>
      </c>
      <c r="B1070" s="251" t="s">
        <v>870</v>
      </c>
      <c r="C1070" s="241">
        <f t="shared" ref="C1070:H1070" si="185">SUM(C1071:C1079)</f>
        <v>0</v>
      </c>
      <c r="D1070" s="241">
        <f t="shared" si="185"/>
        <v>0</v>
      </c>
      <c r="E1070" s="241">
        <f t="shared" si="185"/>
        <v>0</v>
      </c>
      <c r="F1070" s="24">
        <f t="shared" si="175"/>
        <v>0</v>
      </c>
      <c r="G1070" s="24">
        <f t="shared" si="176"/>
        <v>0</v>
      </c>
      <c r="H1070" s="241">
        <f t="shared" si="185"/>
        <v>0</v>
      </c>
    </row>
    <row r="1071" s="34" customFormat="1" spans="1:8">
      <c r="A1071" s="50">
        <v>21901</v>
      </c>
      <c r="B1071" s="251" t="s">
        <v>871</v>
      </c>
      <c r="C1071" s="243"/>
      <c r="D1071" s="243"/>
      <c r="E1071" s="243"/>
      <c r="F1071" s="24">
        <f t="shared" si="175"/>
        <v>0</v>
      </c>
      <c r="G1071" s="24">
        <f t="shared" si="176"/>
        <v>0</v>
      </c>
      <c r="H1071" s="243"/>
    </row>
    <row r="1072" s="34" customFormat="1" spans="1:8">
      <c r="A1072" s="50">
        <v>21902</v>
      </c>
      <c r="B1072" s="251" t="s">
        <v>872</v>
      </c>
      <c r="C1072" s="243"/>
      <c r="D1072" s="243"/>
      <c r="E1072" s="243"/>
      <c r="F1072" s="24">
        <f t="shared" si="175"/>
        <v>0</v>
      </c>
      <c r="G1072" s="24">
        <f t="shared" si="176"/>
        <v>0</v>
      </c>
      <c r="H1072" s="243"/>
    </row>
    <row r="1073" s="34" customFormat="1" spans="1:8">
      <c r="A1073" s="50">
        <v>21903</v>
      </c>
      <c r="B1073" s="251" t="s">
        <v>873</v>
      </c>
      <c r="C1073" s="243"/>
      <c r="D1073" s="243"/>
      <c r="E1073" s="243"/>
      <c r="F1073" s="24">
        <f t="shared" si="175"/>
        <v>0</v>
      </c>
      <c r="G1073" s="24">
        <f t="shared" si="176"/>
        <v>0</v>
      </c>
      <c r="H1073" s="243"/>
    </row>
    <row r="1074" s="34" customFormat="1" spans="1:8">
      <c r="A1074" s="50">
        <v>21904</v>
      </c>
      <c r="B1074" s="251" t="s">
        <v>874</v>
      </c>
      <c r="C1074" s="243"/>
      <c r="D1074" s="243"/>
      <c r="E1074" s="243"/>
      <c r="F1074" s="24">
        <f t="shared" si="175"/>
        <v>0</v>
      </c>
      <c r="G1074" s="24">
        <f t="shared" si="176"/>
        <v>0</v>
      </c>
      <c r="H1074" s="243"/>
    </row>
    <row r="1075" s="34" customFormat="1" spans="1:8">
      <c r="A1075" s="50">
        <v>21905</v>
      </c>
      <c r="B1075" s="251" t="s">
        <v>875</v>
      </c>
      <c r="C1075" s="243"/>
      <c r="D1075" s="243"/>
      <c r="E1075" s="243"/>
      <c r="F1075" s="24">
        <f t="shared" si="175"/>
        <v>0</v>
      </c>
      <c r="G1075" s="24">
        <f t="shared" si="176"/>
        <v>0</v>
      </c>
      <c r="H1075" s="243"/>
    </row>
    <row r="1076" s="34" customFormat="1" spans="1:8">
      <c r="A1076" s="50">
        <v>21906</v>
      </c>
      <c r="B1076" s="251" t="s">
        <v>651</v>
      </c>
      <c r="C1076" s="243"/>
      <c r="D1076" s="243"/>
      <c r="E1076" s="243"/>
      <c r="F1076" s="24">
        <f t="shared" si="175"/>
        <v>0</v>
      </c>
      <c r="G1076" s="24">
        <f t="shared" si="176"/>
        <v>0</v>
      </c>
      <c r="H1076" s="243"/>
    </row>
    <row r="1077" s="34" customFormat="1" spans="1:8">
      <c r="A1077" s="50">
        <v>21907</v>
      </c>
      <c r="B1077" s="251" t="s">
        <v>876</v>
      </c>
      <c r="C1077" s="243"/>
      <c r="D1077" s="243"/>
      <c r="E1077" s="243"/>
      <c r="F1077" s="24">
        <f t="shared" si="175"/>
        <v>0</v>
      </c>
      <c r="G1077" s="24">
        <f t="shared" si="176"/>
        <v>0</v>
      </c>
      <c r="H1077" s="243"/>
    </row>
    <row r="1078" s="34" customFormat="1" spans="1:8">
      <c r="A1078" s="50">
        <v>21908</v>
      </c>
      <c r="B1078" s="251" t="s">
        <v>877</v>
      </c>
      <c r="C1078" s="243"/>
      <c r="D1078" s="243"/>
      <c r="E1078" s="243"/>
      <c r="F1078" s="24">
        <f t="shared" si="175"/>
        <v>0</v>
      </c>
      <c r="G1078" s="24">
        <f t="shared" si="176"/>
        <v>0</v>
      </c>
      <c r="H1078" s="243"/>
    </row>
    <row r="1079" s="34" customFormat="1" spans="1:8">
      <c r="A1079" s="50">
        <v>21999</v>
      </c>
      <c r="B1079" s="251" t="s">
        <v>878</v>
      </c>
      <c r="C1079" s="243"/>
      <c r="D1079" s="243"/>
      <c r="E1079" s="243"/>
      <c r="F1079" s="24">
        <f t="shared" si="175"/>
        <v>0</v>
      </c>
      <c r="G1079" s="24">
        <f t="shared" si="176"/>
        <v>0</v>
      </c>
      <c r="H1079" s="243"/>
    </row>
    <row r="1080" s="34" customFormat="1" spans="1:8">
      <c r="A1080" s="50">
        <v>220</v>
      </c>
      <c r="B1080" s="251" t="s">
        <v>879</v>
      </c>
      <c r="C1080" s="241">
        <f t="shared" ref="C1080:H1080" si="186">SUM(C1081,C1108,C1123)</f>
        <v>1445</v>
      </c>
      <c r="D1080" s="241">
        <f t="shared" si="186"/>
        <v>1195</v>
      </c>
      <c r="E1080" s="241">
        <f t="shared" si="186"/>
        <v>1812</v>
      </c>
      <c r="F1080" s="24">
        <f t="shared" si="175"/>
        <v>125.397923875433</v>
      </c>
      <c r="G1080" s="24">
        <f t="shared" si="176"/>
        <v>151.63179916318</v>
      </c>
      <c r="H1080" s="241">
        <f t="shared" si="186"/>
        <v>0</v>
      </c>
    </row>
    <row r="1081" s="34" customFormat="1" spans="1:8">
      <c r="A1081" s="50">
        <v>22001</v>
      </c>
      <c r="B1081" s="251" t="s">
        <v>880</v>
      </c>
      <c r="C1081" s="241">
        <f t="shared" ref="C1081:H1081" si="187">SUM(C1082:C1107)</f>
        <v>1422</v>
      </c>
      <c r="D1081" s="241">
        <f t="shared" si="187"/>
        <v>1173</v>
      </c>
      <c r="E1081" s="241">
        <f t="shared" si="187"/>
        <v>1729</v>
      </c>
      <c r="F1081" s="24">
        <f t="shared" si="175"/>
        <v>121.589310829817</v>
      </c>
      <c r="G1081" s="24">
        <f t="shared" si="176"/>
        <v>147.399829497016</v>
      </c>
      <c r="H1081" s="241">
        <f t="shared" si="187"/>
        <v>0</v>
      </c>
    </row>
    <row r="1082" s="34" customFormat="1" spans="1:8">
      <c r="A1082" s="50">
        <v>2200101</v>
      </c>
      <c r="B1082" s="251" t="s">
        <v>68</v>
      </c>
      <c r="C1082" s="243">
        <v>180</v>
      </c>
      <c r="D1082" s="243">
        <v>374</v>
      </c>
      <c r="E1082" s="243">
        <f>750+2+1</f>
        <v>753</v>
      </c>
      <c r="F1082" s="24">
        <f t="shared" si="175"/>
        <v>418.333333333333</v>
      </c>
      <c r="G1082" s="24">
        <f t="shared" si="176"/>
        <v>201.336898395722</v>
      </c>
      <c r="H1082" s="243"/>
    </row>
    <row r="1083" s="34" customFormat="1" spans="1:8">
      <c r="A1083" s="50">
        <v>2200102</v>
      </c>
      <c r="B1083" s="251" t="s">
        <v>69</v>
      </c>
      <c r="C1083" s="243">
        <v>79</v>
      </c>
      <c r="D1083" s="243">
        <v>82</v>
      </c>
      <c r="E1083" s="243">
        <v>222</v>
      </c>
      <c r="F1083" s="24">
        <f t="shared" si="175"/>
        <v>281.012658227848</v>
      </c>
      <c r="G1083" s="24">
        <f t="shared" si="176"/>
        <v>270.731707317073</v>
      </c>
      <c r="H1083" s="243"/>
    </row>
    <row r="1084" s="34" customFormat="1" spans="1:8">
      <c r="A1084" s="50">
        <v>2200103</v>
      </c>
      <c r="B1084" s="251" t="s">
        <v>70</v>
      </c>
      <c r="C1084" s="243">
        <v>0</v>
      </c>
      <c r="D1084" s="243">
        <v>0</v>
      </c>
      <c r="E1084" s="243"/>
      <c r="F1084" s="24">
        <f t="shared" si="175"/>
        <v>0</v>
      </c>
      <c r="G1084" s="24">
        <f t="shared" si="176"/>
        <v>0</v>
      </c>
      <c r="H1084" s="243"/>
    </row>
    <row r="1085" s="34" customFormat="1" spans="1:8">
      <c r="A1085" s="50">
        <v>2200104</v>
      </c>
      <c r="B1085" s="251" t="s">
        <v>881</v>
      </c>
      <c r="C1085" s="243">
        <v>0</v>
      </c>
      <c r="D1085" s="243">
        <v>84</v>
      </c>
      <c r="E1085" s="243">
        <v>36</v>
      </c>
      <c r="F1085" s="24">
        <f t="shared" si="175"/>
        <v>0</v>
      </c>
      <c r="G1085" s="24">
        <f t="shared" si="176"/>
        <v>42.8571428571429</v>
      </c>
      <c r="H1085" s="243"/>
    </row>
    <row r="1086" s="34" customFormat="1" spans="1:8">
      <c r="A1086" s="50">
        <v>2200106</v>
      </c>
      <c r="B1086" s="251" t="s">
        <v>882</v>
      </c>
      <c r="C1086" s="243">
        <v>716</v>
      </c>
      <c r="D1086" s="243">
        <v>0</v>
      </c>
      <c r="E1086" s="243">
        <v>347</v>
      </c>
      <c r="F1086" s="24">
        <f t="shared" si="175"/>
        <v>48.463687150838</v>
      </c>
      <c r="G1086" s="24">
        <f t="shared" si="176"/>
        <v>0</v>
      </c>
      <c r="H1086" s="243"/>
    </row>
    <row r="1087" s="34" customFormat="1" spans="1:8">
      <c r="A1087" s="50">
        <v>2200107</v>
      </c>
      <c r="B1087" s="251" t="s">
        <v>883</v>
      </c>
      <c r="C1087" s="243">
        <v>0</v>
      </c>
      <c r="D1087" s="243">
        <v>0</v>
      </c>
      <c r="E1087" s="243"/>
      <c r="F1087" s="24">
        <f t="shared" si="175"/>
        <v>0</v>
      </c>
      <c r="G1087" s="24">
        <f t="shared" si="176"/>
        <v>0</v>
      </c>
      <c r="H1087" s="243"/>
    </row>
    <row r="1088" s="34" customFormat="1" spans="1:8">
      <c r="A1088" s="50">
        <v>2200108</v>
      </c>
      <c r="B1088" s="251" t="s">
        <v>884</v>
      </c>
      <c r="C1088" s="243">
        <v>0</v>
      </c>
      <c r="D1088" s="243">
        <v>0</v>
      </c>
      <c r="E1088" s="243"/>
      <c r="F1088" s="24">
        <f t="shared" si="175"/>
        <v>0</v>
      </c>
      <c r="G1088" s="24">
        <f t="shared" si="176"/>
        <v>0</v>
      </c>
      <c r="H1088" s="243"/>
    </row>
    <row r="1089" s="34" customFormat="1" spans="1:8">
      <c r="A1089" s="50">
        <v>2200109</v>
      </c>
      <c r="B1089" s="251" t="s">
        <v>885</v>
      </c>
      <c r="C1089" s="243">
        <v>6</v>
      </c>
      <c r="D1089" s="243">
        <v>6</v>
      </c>
      <c r="E1089" s="243"/>
      <c r="F1089" s="24">
        <f t="shared" si="175"/>
        <v>0</v>
      </c>
      <c r="G1089" s="24">
        <f t="shared" si="176"/>
        <v>0</v>
      </c>
      <c r="H1089" s="243"/>
    </row>
    <row r="1090" s="34" customFormat="1" spans="1:8">
      <c r="A1090" s="50">
        <v>2200112</v>
      </c>
      <c r="B1090" s="251" t="s">
        <v>886</v>
      </c>
      <c r="C1090" s="243">
        <v>0</v>
      </c>
      <c r="D1090" s="243">
        <v>0</v>
      </c>
      <c r="E1090" s="243"/>
      <c r="F1090" s="24">
        <f t="shared" si="175"/>
        <v>0</v>
      </c>
      <c r="G1090" s="24">
        <f t="shared" si="176"/>
        <v>0</v>
      </c>
      <c r="H1090" s="243"/>
    </row>
    <row r="1091" s="34" customFormat="1" spans="1:8">
      <c r="A1091" s="50">
        <v>2200113</v>
      </c>
      <c r="B1091" s="251" t="s">
        <v>887</v>
      </c>
      <c r="C1091" s="243">
        <v>0</v>
      </c>
      <c r="D1091" s="243">
        <v>0</v>
      </c>
      <c r="E1091" s="243"/>
      <c r="F1091" s="24">
        <f t="shared" si="175"/>
        <v>0</v>
      </c>
      <c r="G1091" s="24">
        <f t="shared" si="176"/>
        <v>0</v>
      </c>
      <c r="H1091" s="243"/>
    </row>
    <row r="1092" s="34" customFormat="1" spans="1:8">
      <c r="A1092" s="50">
        <v>2200114</v>
      </c>
      <c r="B1092" s="251" t="s">
        <v>888</v>
      </c>
      <c r="C1092" s="243">
        <v>0</v>
      </c>
      <c r="D1092" s="243">
        <v>0</v>
      </c>
      <c r="E1092" s="243"/>
      <c r="F1092" s="24">
        <f t="shared" si="175"/>
        <v>0</v>
      </c>
      <c r="G1092" s="24">
        <f t="shared" si="176"/>
        <v>0</v>
      </c>
      <c r="H1092" s="243"/>
    </row>
    <row r="1093" s="34" customFormat="1" spans="1:8">
      <c r="A1093" s="50">
        <v>2200115</v>
      </c>
      <c r="B1093" s="251" t="s">
        <v>889</v>
      </c>
      <c r="C1093" s="243">
        <v>0</v>
      </c>
      <c r="D1093" s="243">
        <v>0</v>
      </c>
      <c r="E1093" s="243"/>
      <c r="F1093" s="24">
        <f t="shared" si="175"/>
        <v>0</v>
      </c>
      <c r="G1093" s="24">
        <f t="shared" si="176"/>
        <v>0</v>
      </c>
      <c r="H1093" s="243"/>
    </row>
    <row r="1094" s="34" customFormat="1" spans="1:8">
      <c r="A1094" s="50">
        <v>2200116</v>
      </c>
      <c r="B1094" s="251" t="s">
        <v>890</v>
      </c>
      <c r="C1094" s="243">
        <v>0</v>
      </c>
      <c r="D1094" s="243">
        <v>0</v>
      </c>
      <c r="E1094" s="243"/>
      <c r="F1094" s="24">
        <f t="shared" ref="F1094:F1157" si="188">IF(C1094&gt;0,E1094/C1094*100,)</f>
        <v>0</v>
      </c>
      <c r="G1094" s="24">
        <f t="shared" ref="G1094:G1157" si="189">IF(D1094&gt;0,E1094/D1094*100,)</f>
        <v>0</v>
      </c>
      <c r="H1094" s="243"/>
    </row>
    <row r="1095" s="34" customFormat="1" spans="1:8">
      <c r="A1095" s="50">
        <v>2200119</v>
      </c>
      <c r="B1095" s="251" t="s">
        <v>891</v>
      </c>
      <c r="C1095" s="243">
        <v>0</v>
      </c>
      <c r="D1095" s="243">
        <v>0</v>
      </c>
      <c r="E1095" s="243"/>
      <c r="F1095" s="24">
        <f t="shared" si="188"/>
        <v>0</v>
      </c>
      <c r="G1095" s="24">
        <f t="shared" si="189"/>
        <v>0</v>
      </c>
      <c r="H1095" s="243"/>
    </row>
    <row r="1096" s="34" customFormat="1" spans="1:8">
      <c r="A1096" s="50">
        <v>2200120</v>
      </c>
      <c r="B1096" s="251" t="s">
        <v>892</v>
      </c>
      <c r="C1096" s="243">
        <v>0</v>
      </c>
      <c r="D1096" s="243">
        <v>0</v>
      </c>
      <c r="E1096" s="243"/>
      <c r="F1096" s="24">
        <f t="shared" si="188"/>
        <v>0</v>
      </c>
      <c r="G1096" s="24">
        <f t="shared" si="189"/>
        <v>0</v>
      </c>
      <c r="H1096" s="243"/>
    </row>
    <row r="1097" s="34" customFormat="1" spans="1:8">
      <c r="A1097" s="50">
        <v>2200121</v>
      </c>
      <c r="B1097" s="251" t="s">
        <v>893</v>
      </c>
      <c r="C1097" s="243">
        <v>0</v>
      </c>
      <c r="D1097" s="243">
        <v>0</v>
      </c>
      <c r="E1097" s="243"/>
      <c r="F1097" s="24">
        <f t="shared" si="188"/>
        <v>0</v>
      </c>
      <c r="G1097" s="24">
        <f t="shared" si="189"/>
        <v>0</v>
      </c>
      <c r="H1097" s="243"/>
    </row>
    <row r="1098" s="34" customFormat="1" spans="1:8">
      <c r="A1098" s="50">
        <v>2200122</v>
      </c>
      <c r="B1098" s="251" t="s">
        <v>894</v>
      </c>
      <c r="C1098" s="243">
        <v>0</v>
      </c>
      <c r="D1098" s="243">
        <v>0</v>
      </c>
      <c r="E1098" s="243"/>
      <c r="F1098" s="24">
        <f t="shared" si="188"/>
        <v>0</v>
      </c>
      <c r="G1098" s="24">
        <f t="shared" si="189"/>
        <v>0</v>
      </c>
      <c r="H1098" s="243"/>
    </row>
    <row r="1099" s="34" customFormat="1" spans="1:8">
      <c r="A1099" s="50">
        <v>2200123</v>
      </c>
      <c r="B1099" s="251" t="s">
        <v>895</v>
      </c>
      <c r="C1099" s="243">
        <v>0</v>
      </c>
      <c r="D1099" s="243">
        <v>0</v>
      </c>
      <c r="E1099" s="243"/>
      <c r="F1099" s="24">
        <f t="shared" si="188"/>
        <v>0</v>
      </c>
      <c r="G1099" s="24">
        <f t="shared" si="189"/>
        <v>0</v>
      </c>
      <c r="H1099" s="243"/>
    </row>
    <row r="1100" s="34" customFormat="1" spans="1:8">
      <c r="A1100" s="50">
        <v>2200124</v>
      </c>
      <c r="B1100" s="251" t="s">
        <v>896</v>
      </c>
      <c r="C1100" s="243">
        <v>0</v>
      </c>
      <c r="D1100" s="243">
        <v>0</v>
      </c>
      <c r="E1100" s="243"/>
      <c r="F1100" s="24">
        <f t="shared" si="188"/>
        <v>0</v>
      </c>
      <c r="G1100" s="24">
        <f t="shared" si="189"/>
        <v>0</v>
      </c>
      <c r="H1100" s="243"/>
    </row>
    <row r="1101" s="34" customFormat="1" spans="1:8">
      <c r="A1101" s="50">
        <v>2200125</v>
      </c>
      <c r="B1101" s="251" t="s">
        <v>897</v>
      </c>
      <c r="C1101" s="243">
        <v>0</v>
      </c>
      <c r="D1101" s="243">
        <v>0</v>
      </c>
      <c r="E1101" s="243"/>
      <c r="F1101" s="24">
        <f t="shared" si="188"/>
        <v>0</v>
      </c>
      <c r="G1101" s="24">
        <f t="shared" si="189"/>
        <v>0</v>
      </c>
      <c r="H1101" s="243"/>
    </row>
    <row r="1102" s="34" customFormat="1" spans="1:8">
      <c r="A1102" s="50">
        <v>2200126</v>
      </c>
      <c r="B1102" s="251" t="s">
        <v>898</v>
      </c>
      <c r="C1102" s="243">
        <v>0</v>
      </c>
      <c r="D1102" s="243">
        <v>0</v>
      </c>
      <c r="E1102" s="243"/>
      <c r="F1102" s="24">
        <f t="shared" si="188"/>
        <v>0</v>
      </c>
      <c r="G1102" s="24">
        <f t="shared" si="189"/>
        <v>0</v>
      </c>
      <c r="H1102" s="243"/>
    </row>
    <row r="1103" s="34" customFormat="1" spans="1:8">
      <c r="A1103" s="50">
        <v>2200127</v>
      </c>
      <c r="B1103" s="251" t="s">
        <v>899</v>
      </c>
      <c r="C1103" s="243">
        <v>0</v>
      </c>
      <c r="D1103" s="243">
        <v>0</v>
      </c>
      <c r="E1103" s="243"/>
      <c r="F1103" s="24">
        <f t="shared" si="188"/>
        <v>0</v>
      </c>
      <c r="G1103" s="24">
        <f t="shared" si="189"/>
        <v>0</v>
      </c>
      <c r="H1103" s="243"/>
    </row>
    <row r="1104" s="34" customFormat="1" spans="1:8">
      <c r="A1104" s="50">
        <v>2200128</v>
      </c>
      <c r="B1104" s="251" t="s">
        <v>900</v>
      </c>
      <c r="C1104" s="243">
        <v>0</v>
      </c>
      <c r="D1104" s="243">
        <v>0</v>
      </c>
      <c r="E1104" s="243"/>
      <c r="F1104" s="24">
        <f t="shared" si="188"/>
        <v>0</v>
      </c>
      <c r="G1104" s="24">
        <f t="shared" si="189"/>
        <v>0</v>
      </c>
      <c r="H1104" s="243"/>
    </row>
    <row r="1105" s="34" customFormat="1" spans="1:8">
      <c r="A1105" s="50">
        <v>2200129</v>
      </c>
      <c r="B1105" s="251" t="s">
        <v>901</v>
      </c>
      <c r="C1105" s="243">
        <v>0</v>
      </c>
      <c r="D1105" s="243">
        <v>0</v>
      </c>
      <c r="E1105" s="243"/>
      <c r="F1105" s="24">
        <f t="shared" si="188"/>
        <v>0</v>
      </c>
      <c r="G1105" s="24">
        <f t="shared" si="189"/>
        <v>0</v>
      </c>
      <c r="H1105" s="243"/>
    </row>
    <row r="1106" s="34" customFormat="1" spans="1:8">
      <c r="A1106" s="50">
        <v>2200150</v>
      </c>
      <c r="B1106" s="251" t="s">
        <v>77</v>
      </c>
      <c r="C1106" s="243">
        <v>423</v>
      </c>
      <c r="D1106" s="243">
        <v>193</v>
      </c>
      <c r="E1106" s="243"/>
      <c r="F1106" s="24">
        <f t="shared" si="188"/>
        <v>0</v>
      </c>
      <c r="G1106" s="24">
        <f t="shared" si="189"/>
        <v>0</v>
      </c>
      <c r="H1106" s="243"/>
    </row>
    <row r="1107" s="34" customFormat="1" spans="1:8">
      <c r="A1107" s="50">
        <v>2200199</v>
      </c>
      <c r="B1107" s="251" t="s">
        <v>902</v>
      </c>
      <c r="C1107" s="243">
        <v>18</v>
      </c>
      <c r="D1107" s="243">
        <v>434</v>
      </c>
      <c r="E1107" s="243">
        <f>28+343</f>
        <v>371</v>
      </c>
      <c r="F1107" s="24">
        <f t="shared" si="188"/>
        <v>2061.11111111111</v>
      </c>
      <c r="G1107" s="24">
        <f t="shared" si="189"/>
        <v>85.4838709677419</v>
      </c>
      <c r="H1107" s="243"/>
    </row>
    <row r="1108" s="34" customFormat="1" spans="1:8">
      <c r="A1108" s="50">
        <v>22005</v>
      </c>
      <c r="B1108" s="251" t="s">
        <v>903</v>
      </c>
      <c r="C1108" s="241">
        <f t="shared" ref="C1108:H1108" si="190">SUM(C1109:C1122)</f>
        <v>23</v>
      </c>
      <c r="D1108" s="241">
        <f t="shared" si="190"/>
        <v>21</v>
      </c>
      <c r="E1108" s="241">
        <f t="shared" si="190"/>
        <v>83</v>
      </c>
      <c r="F1108" s="24">
        <f t="shared" si="188"/>
        <v>360.869565217391</v>
      </c>
      <c r="G1108" s="24">
        <f t="shared" si="189"/>
        <v>395.238095238095</v>
      </c>
      <c r="H1108" s="241">
        <f t="shared" si="190"/>
        <v>0</v>
      </c>
    </row>
    <row r="1109" s="34" customFormat="1" spans="1:8">
      <c r="A1109" s="50">
        <v>2200501</v>
      </c>
      <c r="B1109" s="251" t="s">
        <v>68</v>
      </c>
      <c r="C1109" s="243">
        <v>0</v>
      </c>
      <c r="D1109" s="243"/>
      <c r="E1109" s="243"/>
      <c r="F1109" s="24">
        <f t="shared" si="188"/>
        <v>0</v>
      </c>
      <c r="G1109" s="24">
        <f t="shared" si="189"/>
        <v>0</v>
      </c>
      <c r="H1109" s="243"/>
    </row>
    <row r="1110" s="34" customFormat="1" spans="1:8">
      <c r="A1110" s="50">
        <v>2200502</v>
      </c>
      <c r="B1110" s="251" t="s">
        <v>69</v>
      </c>
      <c r="C1110" s="243">
        <v>0</v>
      </c>
      <c r="D1110" s="243"/>
      <c r="E1110" s="243"/>
      <c r="F1110" s="24">
        <f t="shared" si="188"/>
        <v>0</v>
      </c>
      <c r="G1110" s="24">
        <f t="shared" si="189"/>
        <v>0</v>
      </c>
      <c r="H1110" s="243"/>
    </row>
    <row r="1111" s="34" customFormat="1" spans="1:8">
      <c r="A1111" s="50">
        <v>2200503</v>
      </c>
      <c r="B1111" s="251" t="s">
        <v>70</v>
      </c>
      <c r="C1111" s="243">
        <v>0</v>
      </c>
      <c r="D1111" s="243"/>
      <c r="E1111" s="243"/>
      <c r="F1111" s="24">
        <f t="shared" si="188"/>
        <v>0</v>
      </c>
      <c r="G1111" s="24">
        <f t="shared" si="189"/>
        <v>0</v>
      </c>
      <c r="H1111" s="243"/>
    </row>
    <row r="1112" s="34" customFormat="1" spans="1:8">
      <c r="A1112" s="50">
        <v>2200504</v>
      </c>
      <c r="B1112" s="251" t="s">
        <v>904</v>
      </c>
      <c r="C1112" s="243">
        <v>0</v>
      </c>
      <c r="D1112" s="243"/>
      <c r="E1112" s="243"/>
      <c r="F1112" s="24">
        <f t="shared" si="188"/>
        <v>0</v>
      </c>
      <c r="G1112" s="24">
        <f t="shared" si="189"/>
        <v>0</v>
      </c>
      <c r="H1112" s="243"/>
    </row>
    <row r="1113" s="34" customFormat="1" spans="1:8">
      <c r="A1113" s="50">
        <v>2200506</v>
      </c>
      <c r="B1113" s="251" t="s">
        <v>905</v>
      </c>
      <c r="C1113" s="243">
        <v>0</v>
      </c>
      <c r="D1113" s="243"/>
      <c r="E1113" s="243"/>
      <c r="F1113" s="24">
        <f t="shared" si="188"/>
        <v>0</v>
      </c>
      <c r="G1113" s="24">
        <f t="shared" si="189"/>
        <v>0</v>
      </c>
      <c r="H1113" s="243"/>
    </row>
    <row r="1114" s="34" customFormat="1" spans="1:8">
      <c r="A1114" s="50">
        <v>2200507</v>
      </c>
      <c r="B1114" s="251" t="s">
        <v>906</v>
      </c>
      <c r="C1114" s="243">
        <v>0</v>
      </c>
      <c r="D1114" s="243"/>
      <c r="E1114" s="243"/>
      <c r="F1114" s="24">
        <f t="shared" si="188"/>
        <v>0</v>
      </c>
      <c r="G1114" s="24">
        <f t="shared" si="189"/>
        <v>0</v>
      </c>
      <c r="H1114" s="243"/>
    </row>
    <row r="1115" s="34" customFormat="1" spans="1:8">
      <c r="A1115" s="50">
        <v>2200508</v>
      </c>
      <c r="B1115" s="251" t="s">
        <v>907</v>
      </c>
      <c r="C1115" s="243">
        <v>3</v>
      </c>
      <c r="D1115" s="243">
        <v>3</v>
      </c>
      <c r="E1115" s="243">
        <v>3</v>
      </c>
      <c r="F1115" s="24">
        <f t="shared" si="188"/>
        <v>100</v>
      </c>
      <c r="G1115" s="24">
        <f t="shared" si="189"/>
        <v>100</v>
      </c>
      <c r="H1115" s="243"/>
    </row>
    <row r="1116" s="34" customFormat="1" spans="1:8">
      <c r="A1116" s="50">
        <v>2200509</v>
      </c>
      <c r="B1116" s="251" t="s">
        <v>908</v>
      </c>
      <c r="C1116" s="243">
        <v>3</v>
      </c>
      <c r="D1116" s="243">
        <v>3</v>
      </c>
      <c r="E1116" s="243">
        <v>63</v>
      </c>
      <c r="F1116" s="24">
        <f t="shared" si="188"/>
        <v>2100</v>
      </c>
      <c r="G1116" s="24">
        <f t="shared" si="189"/>
        <v>2100</v>
      </c>
      <c r="H1116" s="243"/>
    </row>
    <row r="1117" s="34" customFormat="1" spans="1:8">
      <c r="A1117" s="50">
        <v>2200510</v>
      </c>
      <c r="B1117" s="251" t="s">
        <v>909</v>
      </c>
      <c r="C1117" s="243">
        <v>0</v>
      </c>
      <c r="D1117" s="243">
        <v>0</v>
      </c>
      <c r="E1117" s="243"/>
      <c r="F1117" s="24">
        <f t="shared" si="188"/>
        <v>0</v>
      </c>
      <c r="G1117" s="24">
        <f t="shared" si="189"/>
        <v>0</v>
      </c>
      <c r="H1117" s="243"/>
    </row>
    <row r="1118" s="34" customFormat="1" spans="1:8">
      <c r="A1118" s="50">
        <v>2200511</v>
      </c>
      <c r="B1118" s="251" t="s">
        <v>910</v>
      </c>
      <c r="C1118" s="243">
        <v>0</v>
      </c>
      <c r="D1118" s="243">
        <v>0</v>
      </c>
      <c r="E1118" s="243"/>
      <c r="F1118" s="24">
        <f t="shared" si="188"/>
        <v>0</v>
      </c>
      <c r="G1118" s="24">
        <f t="shared" si="189"/>
        <v>0</v>
      </c>
      <c r="H1118" s="243"/>
    </row>
    <row r="1119" s="34" customFormat="1" spans="1:8">
      <c r="A1119" s="50">
        <v>2200512</v>
      </c>
      <c r="B1119" s="251" t="s">
        <v>911</v>
      </c>
      <c r="C1119" s="243">
        <v>0</v>
      </c>
      <c r="D1119" s="243">
        <v>0</v>
      </c>
      <c r="E1119" s="243"/>
      <c r="F1119" s="24">
        <f t="shared" si="188"/>
        <v>0</v>
      </c>
      <c r="G1119" s="24">
        <f t="shared" si="189"/>
        <v>0</v>
      </c>
      <c r="H1119" s="243"/>
    </row>
    <row r="1120" s="34" customFormat="1" spans="1:8">
      <c r="A1120" s="50">
        <v>2200513</v>
      </c>
      <c r="B1120" s="251" t="s">
        <v>912</v>
      </c>
      <c r="C1120" s="243">
        <v>0</v>
      </c>
      <c r="D1120" s="243">
        <v>0</v>
      </c>
      <c r="E1120" s="243"/>
      <c r="F1120" s="24">
        <f t="shared" si="188"/>
        <v>0</v>
      </c>
      <c r="G1120" s="24">
        <f t="shared" si="189"/>
        <v>0</v>
      </c>
      <c r="H1120" s="243"/>
    </row>
    <row r="1121" s="34" customFormat="1" spans="1:8">
      <c r="A1121" s="50">
        <v>2200514</v>
      </c>
      <c r="B1121" s="251" t="s">
        <v>913</v>
      </c>
      <c r="C1121" s="243">
        <v>0</v>
      </c>
      <c r="D1121" s="243">
        <v>0</v>
      </c>
      <c r="E1121" s="243"/>
      <c r="F1121" s="24">
        <f t="shared" si="188"/>
        <v>0</v>
      </c>
      <c r="G1121" s="24">
        <f t="shared" si="189"/>
        <v>0</v>
      </c>
      <c r="H1121" s="243"/>
    </row>
    <row r="1122" s="34" customFormat="1" spans="1:8">
      <c r="A1122" s="50">
        <v>2200599</v>
      </c>
      <c r="B1122" s="251" t="s">
        <v>914</v>
      </c>
      <c r="C1122" s="243">
        <v>17</v>
      </c>
      <c r="D1122" s="243">
        <v>15</v>
      </c>
      <c r="E1122" s="243">
        <v>17</v>
      </c>
      <c r="F1122" s="24">
        <f t="shared" si="188"/>
        <v>100</v>
      </c>
      <c r="G1122" s="24">
        <f t="shared" si="189"/>
        <v>113.333333333333</v>
      </c>
      <c r="H1122" s="243"/>
    </row>
    <row r="1123" s="34" customFormat="1" spans="1:8">
      <c r="A1123" s="50">
        <v>22099</v>
      </c>
      <c r="B1123" s="251" t="s">
        <v>915</v>
      </c>
      <c r="C1123" s="243">
        <v>0</v>
      </c>
      <c r="D1123" s="243">
        <v>1</v>
      </c>
      <c r="E1123" s="243"/>
      <c r="F1123" s="24">
        <f t="shared" si="188"/>
        <v>0</v>
      </c>
      <c r="G1123" s="24">
        <f t="shared" si="189"/>
        <v>0</v>
      </c>
      <c r="H1123" s="243"/>
    </row>
    <row r="1124" s="34" customFormat="1" spans="1:8">
      <c r="A1124" s="50">
        <v>221</v>
      </c>
      <c r="B1124" s="251" t="s">
        <v>916</v>
      </c>
      <c r="C1124" s="241">
        <f t="shared" ref="C1124:H1124" si="191">SUM(C1125,C1136,C1140)</f>
        <v>4813</v>
      </c>
      <c r="D1124" s="241">
        <f t="shared" si="191"/>
        <v>5483</v>
      </c>
      <c r="E1124" s="241">
        <f t="shared" si="191"/>
        <v>5026</v>
      </c>
      <c r="F1124" s="24">
        <f t="shared" si="188"/>
        <v>104.425514232288</v>
      </c>
      <c r="G1124" s="24">
        <f t="shared" si="189"/>
        <v>91.6651468174357</v>
      </c>
      <c r="H1124" s="241">
        <f t="shared" si="191"/>
        <v>0</v>
      </c>
    </row>
    <row r="1125" s="34" customFormat="1" spans="1:8">
      <c r="A1125" s="50">
        <v>22101</v>
      </c>
      <c r="B1125" s="251" t="s">
        <v>917</v>
      </c>
      <c r="C1125" s="241">
        <f t="shared" ref="C1125:H1125" si="192">SUM(C1126:C1135)</f>
        <v>409</v>
      </c>
      <c r="D1125" s="241">
        <f t="shared" si="192"/>
        <v>1170</v>
      </c>
      <c r="E1125" s="241">
        <f t="shared" si="192"/>
        <v>108</v>
      </c>
      <c r="F1125" s="24">
        <f t="shared" si="188"/>
        <v>26.4058679706601</v>
      </c>
      <c r="G1125" s="24">
        <f t="shared" si="189"/>
        <v>9.23076923076923</v>
      </c>
      <c r="H1125" s="241">
        <f t="shared" si="192"/>
        <v>0</v>
      </c>
    </row>
    <row r="1126" s="34" customFormat="1" spans="1:8">
      <c r="A1126" s="50">
        <v>2210101</v>
      </c>
      <c r="B1126" s="251" t="s">
        <v>918</v>
      </c>
      <c r="C1126" s="243">
        <v>0</v>
      </c>
      <c r="D1126" s="243">
        <v>0</v>
      </c>
      <c r="E1126" s="243"/>
      <c r="F1126" s="24">
        <f t="shared" si="188"/>
        <v>0</v>
      </c>
      <c r="G1126" s="24">
        <f t="shared" si="189"/>
        <v>0</v>
      </c>
      <c r="H1126" s="243"/>
    </row>
    <row r="1127" s="34" customFormat="1" spans="1:8">
      <c r="A1127" s="50">
        <v>2210102</v>
      </c>
      <c r="B1127" s="251" t="s">
        <v>919</v>
      </c>
      <c r="C1127" s="243">
        <v>0</v>
      </c>
      <c r="D1127" s="243">
        <v>0</v>
      </c>
      <c r="E1127" s="243"/>
      <c r="F1127" s="24">
        <f t="shared" si="188"/>
        <v>0</v>
      </c>
      <c r="G1127" s="24">
        <f t="shared" si="189"/>
        <v>0</v>
      </c>
      <c r="H1127" s="243"/>
    </row>
    <row r="1128" s="34" customFormat="1" spans="1:8">
      <c r="A1128" s="50">
        <v>2210103</v>
      </c>
      <c r="B1128" s="251" t="s">
        <v>920</v>
      </c>
      <c r="C1128" s="243">
        <v>73</v>
      </c>
      <c r="D1128" s="243">
        <v>419</v>
      </c>
      <c r="E1128" s="243"/>
      <c r="F1128" s="24">
        <f t="shared" si="188"/>
        <v>0</v>
      </c>
      <c r="G1128" s="24">
        <f t="shared" si="189"/>
        <v>0</v>
      </c>
      <c r="H1128" s="243"/>
    </row>
    <row r="1129" s="34" customFormat="1" spans="1:8">
      <c r="A1129" s="50">
        <v>2210104</v>
      </c>
      <c r="B1129" s="251" t="s">
        <v>921</v>
      </c>
      <c r="C1129" s="243">
        <v>0</v>
      </c>
      <c r="D1129" s="243">
        <v>0</v>
      </c>
      <c r="E1129" s="243"/>
      <c r="F1129" s="24">
        <f t="shared" si="188"/>
        <v>0</v>
      </c>
      <c r="G1129" s="24">
        <f t="shared" si="189"/>
        <v>0</v>
      </c>
      <c r="H1129" s="243"/>
    </row>
    <row r="1130" s="34" customFormat="1" spans="1:8">
      <c r="A1130" s="50">
        <v>2210105</v>
      </c>
      <c r="B1130" s="251" t="s">
        <v>922</v>
      </c>
      <c r="C1130" s="243">
        <v>120</v>
      </c>
      <c r="D1130" s="243">
        <v>328</v>
      </c>
      <c r="E1130" s="243">
        <v>14</v>
      </c>
      <c r="F1130" s="24">
        <f t="shared" si="188"/>
        <v>11.6666666666667</v>
      </c>
      <c r="G1130" s="24">
        <f t="shared" si="189"/>
        <v>4.26829268292683</v>
      </c>
      <c r="H1130" s="243"/>
    </row>
    <row r="1131" s="34" customFormat="1" spans="1:8">
      <c r="A1131" s="50">
        <v>2210106</v>
      </c>
      <c r="B1131" s="251" t="s">
        <v>923</v>
      </c>
      <c r="C1131" s="243">
        <v>0</v>
      </c>
      <c r="D1131" s="243">
        <v>20</v>
      </c>
      <c r="E1131" s="243"/>
      <c r="F1131" s="24">
        <f t="shared" si="188"/>
        <v>0</v>
      </c>
      <c r="G1131" s="24">
        <f t="shared" si="189"/>
        <v>0</v>
      </c>
      <c r="H1131" s="243"/>
    </row>
    <row r="1132" s="34" customFormat="1" spans="1:8">
      <c r="A1132" s="50">
        <v>2210107</v>
      </c>
      <c r="B1132" s="251" t="s">
        <v>924</v>
      </c>
      <c r="C1132" s="243">
        <v>0</v>
      </c>
      <c r="D1132" s="243">
        <v>0</v>
      </c>
      <c r="E1132" s="243"/>
      <c r="F1132" s="24">
        <f t="shared" si="188"/>
        <v>0</v>
      </c>
      <c r="G1132" s="24">
        <f t="shared" si="189"/>
        <v>0</v>
      </c>
      <c r="H1132" s="243"/>
    </row>
    <row r="1133" s="34" customFormat="1" spans="1:8">
      <c r="A1133" s="50">
        <v>2210108</v>
      </c>
      <c r="B1133" s="251" t="s">
        <v>925</v>
      </c>
      <c r="C1133" s="243">
        <v>200</v>
      </c>
      <c r="D1133" s="243">
        <v>403</v>
      </c>
      <c r="E1133" s="243"/>
      <c r="F1133" s="24">
        <f t="shared" si="188"/>
        <v>0</v>
      </c>
      <c r="G1133" s="24">
        <f t="shared" si="189"/>
        <v>0</v>
      </c>
      <c r="H1133" s="243"/>
    </row>
    <row r="1134" s="34" customFormat="1" spans="1:8">
      <c r="A1134" s="50">
        <v>2210109</v>
      </c>
      <c r="B1134" s="251" t="s">
        <v>926</v>
      </c>
      <c r="C1134" s="243">
        <v>0</v>
      </c>
      <c r="D1134" s="243">
        <v>0</v>
      </c>
      <c r="E1134" s="243"/>
      <c r="F1134" s="24">
        <f t="shared" si="188"/>
        <v>0</v>
      </c>
      <c r="G1134" s="24">
        <f t="shared" si="189"/>
        <v>0</v>
      </c>
      <c r="H1134" s="243"/>
    </row>
    <row r="1135" s="34" customFormat="1" spans="1:8">
      <c r="A1135" s="50">
        <v>2210199</v>
      </c>
      <c r="B1135" s="251" t="s">
        <v>927</v>
      </c>
      <c r="C1135" s="243">
        <v>16</v>
      </c>
      <c r="D1135" s="243">
        <v>0</v>
      </c>
      <c r="E1135" s="243">
        <v>94</v>
      </c>
      <c r="F1135" s="24">
        <f t="shared" si="188"/>
        <v>587.5</v>
      </c>
      <c r="G1135" s="24">
        <f t="shared" si="189"/>
        <v>0</v>
      </c>
      <c r="H1135" s="243"/>
    </row>
    <row r="1136" s="34" customFormat="1" spans="1:8">
      <c r="A1136" s="50">
        <v>22102</v>
      </c>
      <c r="B1136" s="251" t="s">
        <v>928</v>
      </c>
      <c r="C1136" s="241">
        <f t="shared" ref="C1136:H1136" si="193">SUM(C1137:C1139)</f>
        <v>4404</v>
      </c>
      <c r="D1136" s="241">
        <f t="shared" si="193"/>
        <v>4313</v>
      </c>
      <c r="E1136" s="241">
        <f t="shared" si="193"/>
        <v>4918</v>
      </c>
      <c r="F1136" s="24">
        <f t="shared" si="188"/>
        <v>111.671207992734</v>
      </c>
      <c r="G1136" s="24">
        <f t="shared" si="189"/>
        <v>114.027359146766</v>
      </c>
      <c r="H1136" s="241">
        <f t="shared" si="193"/>
        <v>0</v>
      </c>
    </row>
    <row r="1137" s="34" customFormat="1" spans="1:8">
      <c r="A1137" s="50">
        <v>2210201</v>
      </c>
      <c r="B1137" s="251" t="s">
        <v>929</v>
      </c>
      <c r="C1137" s="243">
        <v>4404</v>
      </c>
      <c r="D1137" s="243">
        <v>4313</v>
      </c>
      <c r="E1137" s="243">
        <f>4662+256</f>
        <v>4918</v>
      </c>
      <c r="F1137" s="24">
        <f t="shared" si="188"/>
        <v>111.671207992734</v>
      </c>
      <c r="G1137" s="24">
        <f t="shared" si="189"/>
        <v>114.027359146766</v>
      </c>
      <c r="H1137" s="243"/>
    </row>
    <row r="1138" s="34" customFormat="1" spans="1:8">
      <c r="A1138" s="50">
        <v>2210202</v>
      </c>
      <c r="B1138" s="251" t="s">
        <v>930</v>
      </c>
      <c r="C1138" s="243"/>
      <c r="D1138" s="243"/>
      <c r="E1138" s="243"/>
      <c r="F1138" s="24">
        <f t="shared" si="188"/>
        <v>0</v>
      </c>
      <c r="G1138" s="24">
        <f t="shared" si="189"/>
        <v>0</v>
      </c>
      <c r="H1138" s="243"/>
    </row>
    <row r="1139" s="34" customFormat="1" spans="1:8">
      <c r="A1139" s="50">
        <v>2210203</v>
      </c>
      <c r="B1139" s="251" t="s">
        <v>931</v>
      </c>
      <c r="C1139" s="243"/>
      <c r="D1139" s="243"/>
      <c r="E1139" s="243"/>
      <c r="F1139" s="24">
        <f t="shared" si="188"/>
        <v>0</v>
      </c>
      <c r="G1139" s="24">
        <f t="shared" si="189"/>
        <v>0</v>
      </c>
      <c r="H1139" s="243"/>
    </row>
    <row r="1140" s="34" customFormat="1" spans="1:8">
      <c r="A1140" s="50">
        <v>22103</v>
      </c>
      <c r="B1140" s="251" t="s">
        <v>932</v>
      </c>
      <c r="C1140" s="241">
        <f t="shared" ref="C1140:H1140" si="194">SUM(C1141:C1143)</f>
        <v>0</v>
      </c>
      <c r="D1140" s="241">
        <f t="shared" si="194"/>
        <v>0</v>
      </c>
      <c r="E1140" s="241">
        <f t="shared" si="194"/>
        <v>0</v>
      </c>
      <c r="F1140" s="24">
        <f t="shared" si="188"/>
        <v>0</v>
      </c>
      <c r="G1140" s="24">
        <f t="shared" si="189"/>
        <v>0</v>
      </c>
      <c r="H1140" s="241">
        <f t="shared" si="194"/>
        <v>0</v>
      </c>
    </row>
    <row r="1141" s="34" customFormat="1" spans="1:8">
      <c r="A1141" s="50">
        <v>2210301</v>
      </c>
      <c r="B1141" s="251" t="s">
        <v>933</v>
      </c>
      <c r="C1141" s="243"/>
      <c r="D1141" s="243"/>
      <c r="E1141" s="243"/>
      <c r="F1141" s="24">
        <f t="shared" si="188"/>
        <v>0</v>
      </c>
      <c r="G1141" s="24">
        <f t="shared" si="189"/>
        <v>0</v>
      </c>
      <c r="H1141" s="243"/>
    </row>
    <row r="1142" s="34" customFormat="1" spans="1:8">
      <c r="A1142" s="50">
        <v>2210302</v>
      </c>
      <c r="B1142" s="251" t="s">
        <v>934</v>
      </c>
      <c r="C1142" s="243"/>
      <c r="D1142" s="243"/>
      <c r="E1142" s="243"/>
      <c r="F1142" s="24">
        <f t="shared" si="188"/>
        <v>0</v>
      </c>
      <c r="G1142" s="24">
        <f t="shared" si="189"/>
        <v>0</v>
      </c>
      <c r="H1142" s="243"/>
    </row>
    <row r="1143" s="34" customFormat="1" spans="1:8">
      <c r="A1143" s="50">
        <v>2210399</v>
      </c>
      <c r="B1143" s="251" t="s">
        <v>935</v>
      </c>
      <c r="C1143" s="243"/>
      <c r="D1143" s="243"/>
      <c r="E1143" s="243"/>
      <c r="F1143" s="24">
        <f t="shared" si="188"/>
        <v>0</v>
      </c>
      <c r="G1143" s="24">
        <f t="shared" si="189"/>
        <v>0</v>
      </c>
      <c r="H1143" s="243"/>
    </row>
    <row r="1144" s="34" customFormat="1" spans="1:8">
      <c r="A1144" s="50">
        <v>222</v>
      </c>
      <c r="B1144" s="251" t="s">
        <v>936</v>
      </c>
      <c r="C1144" s="241">
        <f t="shared" ref="C1144:H1144" si="195">SUM(C1145,C1163,C1169,C1175)</f>
        <v>340</v>
      </c>
      <c r="D1144" s="241">
        <f t="shared" si="195"/>
        <v>39</v>
      </c>
      <c r="E1144" s="241">
        <f t="shared" si="195"/>
        <v>610</v>
      </c>
      <c r="F1144" s="24">
        <f t="shared" si="188"/>
        <v>179.411764705882</v>
      </c>
      <c r="G1144" s="24">
        <f t="shared" si="189"/>
        <v>1564.10256410256</v>
      </c>
      <c r="H1144" s="241">
        <f t="shared" si="195"/>
        <v>0</v>
      </c>
    </row>
    <row r="1145" s="34" customFormat="1" spans="1:8">
      <c r="A1145" s="50">
        <v>22201</v>
      </c>
      <c r="B1145" s="251" t="s">
        <v>937</v>
      </c>
      <c r="C1145" s="241">
        <f t="shared" ref="C1145:H1145" si="196">SUM(C1146:C1162)</f>
        <v>340</v>
      </c>
      <c r="D1145" s="241">
        <f t="shared" si="196"/>
        <v>39</v>
      </c>
      <c r="E1145" s="241">
        <f t="shared" si="196"/>
        <v>610</v>
      </c>
      <c r="F1145" s="24">
        <f t="shared" si="188"/>
        <v>179.411764705882</v>
      </c>
      <c r="G1145" s="24">
        <f t="shared" si="189"/>
        <v>1564.10256410256</v>
      </c>
      <c r="H1145" s="241">
        <f t="shared" si="196"/>
        <v>0</v>
      </c>
    </row>
    <row r="1146" s="34" customFormat="1" spans="1:8">
      <c r="A1146" s="50">
        <v>2220101</v>
      </c>
      <c r="B1146" s="251" t="s">
        <v>68</v>
      </c>
      <c r="C1146" s="243">
        <v>79</v>
      </c>
      <c r="D1146" s="243">
        <v>22</v>
      </c>
      <c r="E1146" s="243"/>
      <c r="F1146" s="24">
        <f t="shared" si="188"/>
        <v>0</v>
      </c>
      <c r="G1146" s="24">
        <f t="shared" si="189"/>
        <v>0</v>
      </c>
      <c r="H1146" s="243"/>
    </row>
    <row r="1147" s="34" customFormat="1" spans="1:8">
      <c r="A1147" s="50">
        <v>2220102</v>
      </c>
      <c r="B1147" s="251" t="s">
        <v>69</v>
      </c>
      <c r="C1147" s="243">
        <v>18</v>
      </c>
      <c r="D1147" s="243">
        <v>17</v>
      </c>
      <c r="E1147" s="243">
        <f>68+92</f>
        <v>160</v>
      </c>
      <c r="F1147" s="24">
        <f t="shared" si="188"/>
        <v>888.888888888889</v>
      </c>
      <c r="G1147" s="24">
        <f t="shared" si="189"/>
        <v>941.176470588235</v>
      </c>
      <c r="H1147" s="243"/>
    </row>
    <row r="1148" s="34" customFormat="1" spans="1:8">
      <c r="A1148" s="50">
        <v>2220103</v>
      </c>
      <c r="B1148" s="251" t="s">
        <v>70</v>
      </c>
      <c r="C1148" s="243">
        <v>0</v>
      </c>
      <c r="D1148" s="243"/>
      <c r="E1148" s="243"/>
      <c r="F1148" s="24">
        <f t="shared" si="188"/>
        <v>0</v>
      </c>
      <c r="G1148" s="24">
        <f t="shared" si="189"/>
        <v>0</v>
      </c>
      <c r="H1148" s="243"/>
    </row>
    <row r="1149" s="34" customFormat="1" spans="1:8">
      <c r="A1149" s="50">
        <v>2220104</v>
      </c>
      <c r="B1149" s="251" t="s">
        <v>938</v>
      </c>
      <c r="C1149" s="243">
        <v>0</v>
      </c>
      <c r="D1149" s="243"/>
      <c r="E1149" s="243"/>
      <c r="F1149" s="24">
        <f t="shared" si="188"/>
        <v>0</v>
      </c>
      <c r="G1149" s="24">
        <f t="shared" si="189"/>
        <v>0</v>
      </c>
      <c r="H1149" s="243"/>
    </row>
    <row r="1150" s="34" customFormat="1" spans="1:8">
      <c r="A1150" s="50">
        <v>2220105</v>
      </c>
      <c r="B1150" s="251" t="s">
        <v>939</v>
      </c>
      <c r="C1150" s="243">
        <v>0</v>
      </c>
      <c r="D1150" s="243"/>
      <c r="E1150" s="243"/>
      <c r="F1150" s="24">
        <f t="shared" si="188"/>
        <v>0</v>
      </c>
      <c r="G1150" s="24">
        <f t="shared" si="189"/>
        <v>0</v>
      </c>
      <c r="H1150" s="243"/>
    </row>
    <row r="1151" s="34" customFormat="1" spans="1:8">
      <c r="A1151" s="50">
        <v>2220106</v>
      </c>
      <c r="B1151" s="251" t="s">
        <v>940</v>
      </c>
      <c r="C1151" s="243">
        <v>0</v>
      </c>
      <c r="D1151" s="243"/>
      <c r="E1151" s="243"/>
      <c r="F1151" s="24">
        <f t="shared" si="188"/>
        <v>0</v>
      </c>
      <c r="G1151" s="24">
        <f t="shared" si="189"/>
        <v>0</v>
      </c>
      <c r="H1151" s="243"/>
    </row>
    <row r="1152" s="34" customFormat="1" spans="1:8">
      <c r="A1152" s="50">
        <v>2220107</v>
      </c>
      <c r="B1152" s="251" t="s">
        <v>941</v>
      </c>
      <c r="C1152" s="243">
        <v>0</v>
      </c>
      <c r="D1152" s="243"/>
      <c r="E1152" s="243"/>
      <c r="F1152" s="24">
        <f t="shared" si="188"/>
        <v>0</v>
      </c>
      <c r="G1152" s="24">
        <f t="shared" si="189"/>
        <v>0</v>
      </c>
      <c r="H1152" s="243"/>
    </row>
    <row r="1153" s="34" customFormat="1" spans="1:8">
      <c r="A1153" s="50">
        <v>2220112</v>
      </c>
      <c r="B1153" s="251" t="s">
        <v>942</v>
      </c>
      <c r="C1153" s="243">
        <v>0</v>
      </c>
      <c r="D1153" s="243"/>
      <c r="E1153" s="243"/>
      <c r="F1153" s="24">
        <f t="shared" si="188"/>
        <v>0</v>
      </c>
      <c r="G1153" s="24">
        <f t="shared" si="189"/>
        <v>0</v>
      </c>
      <c r="H1153" s="243"/>
    </row>
    <row r="1154" s="34" customFormat="1" spans="1:8">
      <c r="A1154" s="50">
        <v>2220113</v>
      </c>
      <c r="B1154" s="251" t="s">
        <v>943</v>
      </c>
      <c r="C1154" s="243">
        <v>0</v>
      </c>
      <c r="D1154" s="243"/>
      <c r="E1154" s="243"/>
      <c r="F1154" s="24">
        <f t="shared" si="188"/>
        <v>0</v>
      </c>
      <c r="G1154" s="24">
        <f t="shared" si="189"/>
        <v>0</v>
      </c>
      <c r="H1154" s="243"/>
    </row>
    <row r="1155" s="34" customFormat="1" spans="1:8">
      <c r="A1155" s="50">
        <v>2220114</v>
      </c>
      <c r="B1155" s="251" t="s">
        <v>944</v>
      </c>
      <c r="C1155" s="243">
        <v>0</v>
      </c>
      <c r="D1155" s="243"/>
      <c r="E1155" s="243"/>
      <c r="F1155" s="24">
        <f t="shared" si="188"/>
        <v>0</v>
      </c>
      <c r="G1155" s="24">
        <f t="shared" si="189"/>
        <v>0</v>
      </c>
      <c r="H1155" s="243"/>
    </row>
    <row r="1156" s="34" customFormat="1" spans="1:8">
      <c r="A1156" s="50">
        <v>2220115</v>
      </c>
      <c r="B1156" s="251" t="s">
        <v>945</v>
      </c>
      <c r="C1156" s="243">
        <v>0</v>
      </c>
      <c r="D1156" s="243"/>
      <c r="E1156" s="243">
        <v>60</v>
      </c>
      <c r="F1156" s="24">
        <f t="shared" si="188"/>
        <v>0</v>
      </c>
      <c r="G1156" s="24">
        <f t="shared" si="189"/>
        <v>0</v>
      </c>
      <c r="H1156" s="243"/>
    </row>
    <row r="1157" s="34" customFormat="1" spans="1:8">
      <c r="A1157" s="50">
        <v>2220118</v>
      </c>
      <c r="B1157" s="251" t="s">
        <v>946</v>
      </c>
      <c r="C1157" s="243">
        <v>0</v>
      </c>
      <c r="D1157" s="243"/>
      <c r="E1157" s="243"/>
      <c r="F1157" s="24">
        <f t="shared" si="188"/>
        <v>0</v>
      </c>
      <c r="G1157" s="24">
        <f t="shared" si="189"/>
        <v>0</v>
      </c>
      <c r="H1157" s="243"/>
    </row>
    <row r="1158" s="34" customFormat="1" spans="1:8">
      <c r="A1158" s="50">
        <v>2220119</v>
      </c>
      <c r="B1158" s="251" t="s">
        <v>947</v>
      </c>
      <c r="C1158" s="243">
        <v>0</v>
      </c>
      <c r="D1158" s="243"/>
      <c r="E1158" s="243"/>
      <c r="F1158" s="24">
        <f t="shared" ref="F1158:F1221" si="197">IF(C1158&gt;0,E1158/C1158*100,)</f>
        <v>0</v>
      </c>
      <c r="G1158" s="24">
        <f t="shared" ref="G1158:G1221" si="198">IF(D1158&gt;0,E1158/D1158*100,)</f>
        <v>0</v>
      </c>
      <c r="H1158" s="243"/>
    </row>
    <row r="1159" s="34" customFormat="1" spans="1:8">
      <c r="A1159" s="50">
        <v>2220120</v>
      </c>
      <c r="B1159" s="251" t="s">
        <v>948</v>
      </c>
      <c r="C1159" s="243">
        <v>0</v>
      </c>
      <c r="D1159" s="243"/>
      <c r="E1159" s="243"/>
      <c r="F1159" s="24">
        <f t="shared" si="197"/>
        <v>0</v>
      </c>
      <c r="G1159" s="24">
        <f t="shared" si="198"/>
        <v>0</v>
      </c>
      <c r="H1159" s="243"/>
    </row>
    <row r="1160" s="34" customFormat="1" spans="1:8">
      <c r="A1160" s="50">
        <v>2220121</v>
      </c>
      <c r="B1160" s="251" t="s">
        <v>949</v>
      </c>
      <c r="C1160" s="243">
        <v>0</v>
      </c>
      <c r="D1160" s="243"/>
      <c r="E1160" s="243"/>
      <c r="F1160" s="24">
        <f t="shared" si="197"/>
        <v>0</v>
      </c>
      <c r="G1160" s="24">
        <f t="shared" si="198"/>
        <v>0</v>
      </c>
      <c r="H1160" s="243"/>
    </row>
    <row r="1161" s="34" customFormat="1" spans="1:8">
      <c r="A1161" s="50">
        <v>2220150</v>
      </c>
      <c r="B1161" s="251" t="s">
        <v>77</v>
      </c>
      <c r="C1161" s="243">
        <v>0</v>
      </c>
      <c r="D1161" s="243"/>
      <c r="E1161" s="243"/>
      <c r="F1161" s="24">
        <f t="shared" si="197"/>
        <v>0</v>
      </c>
      <c r="G1161" s="24">
        <f t="shared" si="198"/>
        <v>0</v>
      </c>
      <c r="H1161" s="243"/>
    </row>
    <row r="1162" s="34" customFormat="1" spans="1:8">
      <c r="A1162" s="50">
        <v>2220199</v>
      </c>
      <c r="B1162" s="251" t="s">
        <v>950</v>
      </c>
      <c r="C1162" s="243">
        <v>243</v>
      </c>
      <c r="D1162" s="243"/>
      <c r="E1162" s="243">
        <f>290+100</f>
        <v>390</v>
      </c>
      <c r="F1162" s="24">
        <f t="shared" si="197"/>
        <v>160.493827160494</v>
      </c>
      <c r="G1162" s="24">
        <f t="shared" si="198"/>
        <v>0</v>
      </c>
      <c r="H1162" s="243"/>
    </row>
    <row r="1163" s="34" customFormat="1" spans="1:8">
      <c r="A1163" s="50">
        <v>22203</v>
      </c>
      <c r="B1163" s="251" t="s">
        <v>951</v>
      </c>
      <c r="C1163" s="241">
        <f t="shared" ref="C1163:H1163" si="199">SUM(C1164:C1168)</f>
        <v>0</v>
      </c>
      <c r="D1163" s="241">
        <f t="shared" si="199"/>
        <v>0</v>
      </c>
      <c r="E1163" s="241">
        <f t="shared" si="199"/>
        <v>0</v>
      </c>
      <c r="F1163" s="24">
        <f t="shared" si="197"/>
        <v>0</v>
      </c>
      <c r="G1163" s="24">
        <f t="shared" si="198"/>
        <v>0</v>
      </c>
      <c r="H1163" s="241">
        <f t="shared" si="199"/>
        <v>0</v>
      </c>
    </row>
    <row r="1164" s="34" customFormat="1" spans="1:8">
      <c r="A1164" s="50">
        <v>2220301</v>
      </c>
      <c r="B1164" s="251" t="s">
        <v>952</v>
      </c>
      <c r="C1164" s="243"/>
      <c r="D1164" s="243"/>
      <c r="E1164" s="243"/>
      <c r="F1164" s="24">
        <f t="shared" si="197"/>
        <v>0</v>
      </c>
      <c r="G1164" s="24">
        <f t="shared" si="198"/>
        <v>0</v>
      </c>
      <c r="H1164" s="243"/>
    </row>
    <row r="1165" s="34" customFormat="1" spans="1:8">
      <c r="A1165" s="50">
        <v>2220303</v>
      </c>
      <c r="B1165" s="251" t="s">
        <v>953</v>
      </c>
      <c r="C1165" s="243"/>
      <c r="D1165" s="243"/>
      <c r="E1165" s="243"/>
      <c r="F1165" s="24">
        <f t="shared" si="197"/>
        <v>0</v>
      </c>
      <c r="G1165" s="24">
        <f t="shared" si="198"/>
        <v>0</v>
      </c>
      <c r="H1165" s="243"/>
    </row>
    <row r="1166" s="34" customFormat="1" spans="1:8">
      <c r="A1166" s="50">
        <v>2220304</v>
      </c>
      <c r="B1166" s="251" t="s">
        <v>954</v>
      </c>
      <c r="C1166" s="243"/>
      <c r="D1166" s="243"/>
      <c r="E1166" s="243"/>
      <c r="F1166" s="24">
        <f t="shared" si="197"/>
        <v>0</v>
      </c>
      <c r="G1166" s="24">
        <f t="shared" si="198"/>
        <v>0</v>
      </c>
      <c r="H1166" s="243"/>
    </row>
    <row r="1167" s="34" customFormat="1" spans="1:8">
      <c r="A1167" s="50">
        <v>2220305</v>
      </c>
      <c r="B1167" s="251" t="s">
        <v>955</v>
      </c>
      <c r="C1167" s="243"/>
      <c r="D1167" s="243"/>
      <c r="E1167" s="243"/>
      <c r="F1167" s="24">
        <f t="shared" si="197"/>
        <v>0</v>
      </c>
      <c r="G1167" s="24">
        <f t="shared" si="198"/>
        <v>0</v>
      </c>
      <c r="H1167" s="243"/>
    </row>
    <row r="1168" s="34" customFormat="1" spans="1:8">
      <c r="A1168" s="50">
        <v>2220399</v>
      </c>
      <c r="B1168" s="251" t="s">
        <v>956</v>
      </c>
      <c r="C1168" s="243"/>
      <c r="D1168" s="243"/>
      <c r="E1168" s="243"/>
      <c r="F1168" s="24">
        <f t="shared" si="197"/>
        <v>0</v>
      </c>
      <c r="G1168" s="24">
        <f t="shared" si="198"/>
        <v>0</v>
      </c>
      <c r="H1168" s="243"/>
    </row>
    <row r="1169" s="34" customFormat="1" spans="1:8">
      <c r="A1169" s="50">
        <v>22204</v>
      </c>
      <c r="B1169" s="251" t="s">
        <v>957</v>
      </c>
      <c r="C1169" s="241">
        <f t="shared" ref="C1169:H1169" si="200">SUM(C1170:C1174)</f>
        <v>0</v>
      </c>
      <c r="D1169" s="241">
        <f t="shared" si="200"/>
        <v>0</v>
      </c>
      <c r="E1169" s="241">
        <f t="shared" si="200"/>
        <v>0</v>
      </c>
      <c r="F1169" s="24">
        <f t="shared" si="197"/>
        <v>0</v>
      </c>
      <c r="G1169" s="24">
        <f t="shared" si="198"/>
        <v>0</v>
      </c>
      <c r="H1169" s="241">
        <f t="shared" si="200"/>
        <v>0</v>
      </c>
    </row>
    <row r="1170" s="34" customFormat="1" spans="1:8">
      <c r="A1170" s="50">
        <v>2220401</v>
      </c>
      <c r="B1170" s="251" t="s">
        <v>958</v>
      </c>
      <c r="C1170" s="243"/>
      <c r="D1170" s="243"/>
      <c r="E1170" s="243"/>
      <c r="F1170" s="24">
        <f t="shared" si="197"/>
        <v>0</v>
      </c>
      <c r="G1170" s="24">
        <f t="shared" si="198"/>
        <v>0</v>
      </c>
      <c r="H1170" s="243"/>
    </row>
    <row r="1171" s="34" customFormat="1" spans="1:8">
      <c r="A1171" s="50">
        <v>2220402</v>
      </c>
      <c r="B1171" s="251" t="s">
        <v>959</v>
      </c>
      <c r="C1171" s="243"/>
      <c r="D1171" s="243"/>
      <c r="E1171" s="243"/>
      <c r="F1171" s="24">
        <f t="shared" si="197"/>
        <v>0</v>
      </c>
      <c r="G1171" s="24">
        <f t="shared" si="198"/>
        <v>0</v>
      </c>
      <c r="H1171" s="243"/>
    </row>
    <row r="1172" s="34" customFormat="1" spans="1:8">
      <c r="A1172" s="50">
        <v>2220403</v>
      </c>
      <c r="B1172" s="251" t="s">
        <v>960</v>
      </c>
      <c r="C1172" s="243"/>
      <c r="D1172" s="243"/>
      <c r="E1172" s="243"/>
      <c r="F1172" s="24">
        <f t="shared" si="197"/>
        <v>0</v>
      </c>
      <c r="G1172" s="24">
        <f t="shared" si="198"/>
        <v>0</v>
      </c>
      <c r="H1172" s="243"/>
    </row>
    <row r="1173" s="34" customFormat="1" spans="1:8">
      <c r="A1173" s="50">
        <v>2220404</v>
      </c>
      <c r="B1173" s="251" t="s">
        <v>961</v>
      </c>
      <c r="C1173" s="243"/>
      <c r="D1173" s="243"/>
      <c r="E1173" s="243"/>
      <c r="F1173" s="24">
        <f t="shared" si="197"/>
        <v>0</v>
      </c>
      <c r="G1173" s="24">
        <f t="shared" si="198"/>
        <v>0</v>
      </c>
      <c r="H1173" s="243"/>
    </row>
    <row r="1174" s="34" customFormat="1" spans="1:8">
      <c r="A1174" s="50">
        <v>2220499</v>
      </c>
      <c r="B1174" s="251" t="s">
        <v>962</v>
      </c>
      <c r="C1174" s="243"/>
      <c r="D1174" s="243"/>
      <c r="E1174" s="243"/>
      <c r="F1174" s="24">
        <f t="shared" si="197"/>
        <v>0</v>
      </c>
      <c r="G1174" s="24">
        <f t="shared" si="198"/>
        <v>0</v>
      </c>
      <c r="H1174" s="243"/>
    </row>
    <row r="1175" s="34" customFormat="1" spans="1:8">
      <c r="A1175" s="50">
        <v>22205</v>
      </c>
      <c r="B1175" s="251" t="s">
        <v>963</v>
      </c>
      <c r="C1175" s="241">
        <f t="shared" ref="C1175:H1175" si="201">SUM(C1176:C1187)</f>
        <v>0</v>
      </c>
      <c r="D1175" s="241">
        <f t="shared" si="201"/>
        <v>0</v>
      </c>
      <c r="E1175" s="241">
        <f t="shared" si="201"/>
        <v>0</v>
      </c>
      <c r="F1175" s="24">
        <f t="shared" si="197"/>
        <v>0</v>
      </c>
      <c r="G1175" s="24">
        <f t="shared" si="198"/>
        <v>0</v>
      </c>
      <c r="H1175" s="241">
        <f t="shared" si="201"/>
        <v>0</v>
      </c>
    </row>
    <row r="1176" s="34" customFormat="1" spans="1:8">
      <c r="A1176" s="50">
        <v>2220501</v>
      </c>
      <c r="B1176" s="251" t="s">
        <v>964</v>
      </c>
      <c r="C1176" s="243"/>
      <c r="D1176" s="243"/>
      <c r="E1176" s="243"/>
      <c r="F1176" s="24">
        <f t="shared" si="197"/>
        <v>0</v>
      </c>
      <c r="G1176" s="24">
        <f t="shared" si="198"/>
        <v>0</v>
      </c>
      <c r="H1176" s="243"/>
    </row>
    <row r="1177" s="34" customFormat="1" spans="1:8">
      <c r="A1177" s="50">
        <v>2220502</v>
      </c>
      <c r="B1177" s="251" t="s">
        <v>965</v>
      </c>
      <c r="C1177" s="243"/>
      <c r="D1177" s="243"/>
      <c r="E1177" s="243"/>
      <c r="F1177" s="24">
        <f t="shared" si="197"/>
        <v>0</v>
      </c>
      <c r="G1177" s="24">
        <f t="shared" si="198"/>
        <v>0</v>
      </c>
      <c r="H1177" s="243"/>
    </row>
    <row r="1178" s="34" customFormat="1" spans="1:8">
      <c r="A1178" s="50">
        <v>2220503</v>
      </c>
      <c r="B1178" s="251" t="s">
        <v>966</v>
      </c>
      <c r="C1178" s="243"/>
      <c r="D1178" s="243"/>
      <c r="E1178" s="243"/>
      <c r="F1178" s="24">
        <f t="shared" si="197"/>
        <v>0</v>
      </c>
      <c r="G1178" s="24">
        <f t="shared" si="198"/>
        <v>0</v>
      </c>
      <c r="H1178" s="243"/>
    </row>
    <row r="1179" s="34" customFormat="1" spans="1:8">
      <c r="A1179" s="50">
        <v>2220504</v>
      </c>
      <c r="B1179" s="251" t="s">
        <v>967</v>
      </c>
      <c r="C1179" s="243"/>
      <c r="D1179" s="243"/>
      <c r="E1179" s="243"/>
      <c r="F1179" s="24">
        <f t="shared" si="197"/>
        <v>0</v>
      </c>
      <c r="G1179" s="24">
        <f t="shared" si="198"/>
        <v>0</v>
      </c>
      <c r="H1179" s="243"/>
    </row>
    <row r="1180" s="34" customFormat="1" spans="1:8">
      <c r="A1180" s="50">
        <v>2220505</v>
      </c>
      <c r="B1180" s="251" t="s">
        <v>968</v>
      </c>
      <c r="C1180" s="243"/>
      <c r="D1180" s="243"/>
      <c r="E1180" s="243"/>
      <c r="F1180" s="24">
        <f t="shared" si="197"/>
        <v>0</v>
      </c>
      <c r="G1180" s="24">
        <f t="shared" si="198"/>
        <v>0</v>
      </c>
      <c r="H1180" s="243"/>
    </row>
    <row r="1181" s="34" customFormat="1" spans="1:8">
      <c r="A1181" s="50">
        <v>2220506</v>
      </c>
      <c r="B1181" s="251" t="s">
        <v>969</v>
      </c>
      <c r="C1181" s="243"/>
      <c r="D1181" s="243"/>
      <c r="E1181" s="243"/>
      <c r="F1181" s="24">
        <f t="shared" si="197"/>
        <v>0</v>
      </c>
      <c r="G1181" s="24">
        <f t="shared" si="198"/>
        <v>0</v>
      </c>
      <c r="H1181" s="243"/>
    </row>
    <row r="1182" s="34" customFormat="1" spans="1:8">
      <c r="A1182" s="50">
        <v>2220507</v>
      </c>
      <c r="B1182" s="251" t="s">
        <v>970</v>
      </c>
      <c r="C1182" s="243"/>
      <c r="D1182" s="243"/>
      <c r="E1182" s="243"/>
      <c r="F1182" s="24">
        <f t="shared" si="197"/>
        <v>0</v>
      </c>
      <c r="G1182" s="24">
        <f t="shared" si="198"/>
        <v>0</v>
      </c>
      <c r="H1182" s="243"/>
    </row>
    <row r="1183" s="34" customFormat="1" spans="1:8">
      <c r="A1183" s="50">
        <v>2220508</v>
      </c>
      <c r="B1183" s="251" t="s">
        <v>971</v>
      </c>
      <c r="C1183" s="243"/>
      <c r="D1183" s="243"/>
      <c r="E1183" s="243"/>
      <c r="F1183" s="24">
        <f t="shared" si="197"/>
        <v>0</v>
      </c>
      <c r="G1183" s="24">
        <f t="shared" si="198"/>
        <v>0</v>
      </c>
      <c r="H1183" s="243"/>
    </row>
    <row r="1184" s="34" customFormat="1" spans="1:8">
      <c r="A1184" s="50">
        <v>2220509</v>
      </c>
      <c r="B1184" s="251" t="s">
        <v>972</v>
      </c>
      <c r="C1184" s="243"/>
      <c r="D1184" s="243"/>
      <c r="E1184" s="243"/>
      <c r="F1184" s="24">
        <f t="shared" si="197"/>
        <v>0</v>
      </c>
      <c r="G1184" s="24">
        <f t="shared" si="198"/>
        <v>0</v>
      </c>
      <c r="H1184" s="243"/>
    </row>
    <row r="1185" s="34" customFormat="1" spans="1:8">
      <c r="A1185" s="50">
        <v>2220510</v>
      </c>
      <c r="B1185" s="251" t="s">
        <v>973</v>
      </c>
      <c r="C1185" s="243"/>
      <c r="D1185" s="243"/>
      <c r="E1185" s="243"/>
      <c r="F1185" s="24">
        <f t="shared" si="197"/>
        <v>0</v>
      </c>
      <c r="G1185" s="24">
        <f t="shared" si="198"/>
        <v>0</v>
      </c>
      <c r="H1185" s="243"/>
    </row>
    <row r="1186" s="34" customFormat="1" spans="1:8">
      <c r="A1186" s="50">
        <v>2220511</v>
      </c>
      <c r="B1186" s="251" t="s">
        <v>974</v>
      </c>
      <c r="C1186" s="243"/>
      <c r="D1186" s="243"/>
      <c r="E1186" s="243"/>
      <c r="F1186" s="24">
        <f t="shared" si="197"/>
        <v>0</v>
      </c>
      <c r="G1186" s="24">
        <f t="shared" si="198"/>
        <v>0</v>
      </c>
      <c r="H1186" s="243"/>
    </row>
    <row r="1187" s="34" customFormat="1" spans="1:8">
      <c r="A1187" s="50">
        <v>2220599</v>
      </c>
      <c r="B1187" s="251" t="s">
        <v>975</v>
      </c>
      <c r="C1187" s="243"/>
      <c r="D1187" s="243"/>
      <c r="E1187" s="243"/>
      <c r="F1187" s="24">
        <f t="shared" si="197"/>
        <v>0</v>
      </c>
      <c r="G1187" s="24">
        <f t="shared" si="198"/>
        <v>0</v>
      </c>
      <c r="H1187" s="243"/>
    </row>
    <row r="1188" s="34" customFormat="1" spans="1:8">
      <c r="A1188" s="50">
        <v>224</v>
      </c>
      <c r="B1188" s="251" t="s">
        <v>976</v>
      </c>
      <c r="C1188" s="241">
        <f t="shared" ref="C1188:H1188" si="202">SUM(C1189,C1200,C1206,C1214,C1227,C1231,C1235)</f>
        <v>2217</v>
      </c>
      <c r="D1188" s="241">
        <f t="shared" si="202"/>
        <v>1535</v>
      </c>
      <c r="E1188" s="241">
        <f t="shared" si="202"/>
        <v>3218</v>
      </c>
      <c r="F1188" s="24">
        <f t="shared" si="197"/>
        <v>145.151105096978</v>
      </c>
      <c r="G1188" s="24">
        <f t="shared" si="198"/>
        <v>209.641693811075</v>
      </c>
      <c r="H1188" s="241">
        <f t="shared" si="202"/>
        <v>0</v>
      </c>
    </row>
    <row r="1189" s="34" customFormat="1" spans="1:8">
      <c r="A1189" s="50">
        <v>22401</v>
      </c>
      <c r="B1189" s="251" t="s">
        <v>977</v>
      </c>
      <c r="C1189" s="241">
        <f t="shared" ref="C1189:H1189" si="203">SUM(C1190:C1199)</f>
        <v>276</v>
      </c>
      <c r="D1189" s="241">
        <f t="shared" si="203"/>
        <v>421</v>
      </c>
      <c r="E1189" s="241">
        <f t="shared" si="203"/>
        <v>531</v>
      </c>
      <c r="F1189" s="24">
        <f t="shared" si="197"/>
        <v>192.391304347826</v>
      </c>
      <c r="G1189" s="24">
        <f t="shared" si="198"/>
        <v>126.128266033254</v>
      </c>
      <c r="H1189" s="241">
        <f t="shared" si="203"/>
        <v>0</v>
      </c>
    </row>
    <row r="1190" s="34" customFormat="1" spans="1:8">
      <c r="A1190" s="50">
        <v>2240101</v>
      </c>
      <c r="B1190" s="251" t="s">
        <v>68</v>
      </c>
      <c r="C1190" s="243">
        <v>181</v>
      </c>
      <c r="D1190" s="243">
        <v>198</v>
      </c>
      <c r="E1190" s="243">
        <f>235+105</f>
        <v>340</v>
      </c>
      <c r="F1190" s="24">
        <f t="shared" si="197"/>
        <v>187.845303867403</v>
      </c>
      <c r="G1190" s="24">
        <f t="shared" si="198"/>
        <v>171.717171717172</v>
      </c>
      <c r="H1190" s="243"/>
    </row>
    <row r="1191" s="34" customFormat="1" spans="1:8">
      <c r="A1191" s="50">
        <v>2240102</v>
      </c>
      <c r="B1191" s="251" t="s">
        <v>69</v>
      </c>
      <c r="C1191" s="243">
        <v>33</v>
      </c>
      <c r="D1191" s="243">
        <v>33</v>
      </c>
      <c r="E1191" s="243">
        <v>65</v>
      </c>
      <c r="F1191" s="24">
        <f t="shared" si="197"/>
        <v>196.969696969697</v>
      </c>
      <c r="G1191" s="24">
        <f t="shared" si="198"/>
        <v>196.969696969697</v>
      </c>
      <c r="H1191" s="243"/>
    </row>
    <row r="1192" s="34" customFormat="1" spans="1:8">
      <c r="A1192" s="50">
        <v>2240103</v>
      </c>
      <c r="B1192" s="251" t="s">
        <v>70</v>
      </c>
      <c r="C1192" s="243"/>
      <c r="D1192" s="243"/>
      <c r="E1192" s="243"/>
      <c r="F1192" s="24">
        <f t="shared" si="197"/>
        <v>0</v>
      </c>
      <c r="G1192" s="24">
        <f t="shared" si="198"/>
        <v>0</v>
      </c>
      <c r="H1192" s="243"/>
    </row>
    <row r="1193" s="34" customFormat="1" spans="1:8">
      <c r="A1193" s="50">
        <v>2240104</v>
      </c>
      <c r="B1193" s="251" t="s">
        <v>978</v>
      </c>
      <c r="C1193" s="243">
        <v>15</v>
      </c>
      <c r="D1193" s="243">
        <v>4</v>
      </c>
      <c r="E1193" s="243">
        <f>4+35</f>
        <v>39</v>
      </c>
      <c r="F1193" s="24">
        <f t="shared" si="197"/>
        <v>260</v>
      </c>
      <c r="G1193" s="24">
        <f t="shared" si="198"/>
        <v>975</v>
      </c>
      <c r="H1193" s="243"/>
    </row>
    <row r="1194" s="34" customFormat="1" spans="1:8">
      <c r="A1194" s="50">
        <v>2240105</v>
      </c>
      <c r="B1194" s="251" t="s">
        <v>979</v>
      </c>
      <c r="C1194" s="243"/>
      <c r="D1194" s="243"/>
      <c r="E1194" s="243"/>
      <c r="F1194" s="24">
        <f t="shared" si="197"/>
        <v>0</v>
      </c>
      <c r="G1194" s="24">
        <f t="shared" si="198"/>
        <v>0</v>
      </c>
      <c r="H1194" s="243"/>
    </row>
    <row r="1195" s="34" customFormat="1" spans="1:8">
      <c r="A1195" s="50">
        <v>2240106</v>
      </c>
      <c r="B1195" s="251" t="s">
        <v>980</v>
      </c>
      <c r="C1195" s="243">
        <v>24</v>
      </c>
      <c r="D1195" s="243">
        <v>163</v>
      </c>
      <c r="E1195" s="243">
        <f>31+1+50</f>
        <v>82</v>
      </c>
      <c r="F1195" s="24">
        <f t="shared" si="197"/>
        <v>341.666666666667</v>
      </c>
      <c r="G1195" s="24">
        <f t="shared" si="198"/>
        <v>50.3067484662577</v>
      </c>
      <c r="H1195" s="243"/>
    </row>
    <row r="1196" s="34" customFormat="1" spans="1:8">
      <c r="A1196" s="50">
        <v>2240108</v>
      </c>
      <c r="B1196" s="251" t="s">
        <v>981</v>
      </c>
      <c r="C1196" s="243">
        <v>11</v>
      </c>
      <c r="D1196" s="243">
        <v>10</v>
      </c>
      <c r="E1196" s="243">
        <v>5</v>
      </c>
      <c r="F1196" s="24">
        <f t="shared" si="197"/>
        <v>45.4545454545455</v>
      </c>
      <c r="G1196" s="24">
        <f t="shared" si="198"/>
        <v>50</v>
      </c>
      <c r="H1196" s="243"/>
    </row>
    <row r="1197" s="34" customFormat="1" spans="1:8">
      <c r="A1197" s="50">
        <v>2240109</v>
      </c>
      <c r="B1197" s="251" t="s">
        <v>982</v>
      </c>
      <c r="C1197" s="243"/>
      <c r="D1197" s="243">
        <v>13</v>
      </c>
      <c r="E1197" s="243"/>
      <c r="F1197" s="24">
        <f t="shared" si="197"/>
        <v>0</v>
      </c>
      <c r="G1197" s="24">
        <f t="shared" si="198"/>
        <v>0</v>
      </c>
      <c r="H1197" s="243"/>
    </row>
    <row r="1198" s="34" customFormat="1" spans="1:8">
      <c r="A1198" s="50">
        <v>2240150</v>
      </c>
      <c r="B1198" s="251" t="s">
        <v>77</v>
      </c>
      <c r="C1198" s="243"/>
      <c r="D1198" s="243"/>
      <c r="E1198" s="243"/>
      <c r="F1198" s="24">
        <f t="shared" si="197"/>
        <v>0</v>
      </c>
      <c r="G1198" s="24">
        <f t="shared" si="198"/>
        <v>0</v>
      </c>
      <c r="H1198" s="243"/>
    </row>
    <row r="1199" s="34" customFormat="1" spans="1:8">
      <c r="A1199" s="50">
        <v>2240199</v>
      </c>
      <c r="B1199" s="251" t="s">
        <v>983</v>
      </c>
      <c r="C1199" s="243">
        <v>12</v>
      </c>
      <c r="D1199" s="243"/>
      <c r="E1199" s="243"/>
      <c r="F1199" s="24">
        <f t="shared" si="197"/>
        <v>0</v>
      </c>
      <c r="G1199" s="24">
        <f t="shared" si="198"/>
        <v>0</v>
      </c>
      <c r="H1199" s="243"/>
    </row>
    <row r="1200" s="34" customFormat="1" spans="1:8">
      <c r="A1200" s="50">
        <v>22402</v>
      </c>
      <c r="B1200" s="251" t="s">
        <v>984</v>
      </c>
      <c r="C1200" s="241">
        <f t="shared" ref="C1200:H1200" si="204">SUM(C1201:C1205)</f>
        <v>0</v>
      </c>
      <c r="D1200" s="241">
        <f t="shared" si="204"/>
        <v>150</v>
      </c>
      <c r="E1200" s="241">
        <f t="shared" si="204"/>
        <v>370</v>
      </c>
      <c r="F1200" s="24">
        <f t="shared" si="197"/>
        <v>0</v>
      </c>
      <c r="G1200" s="24">
        <f t="shared" si="198"/>
        <v>246.666666666667</v>
      </c>
      <c r="H1200" s="241">
        <f t="shared" si="204"/>
        <v>0</v>
      </c>
    </row>
    <row r="1201" s="34" customFormat="1" spans="1:8">
      <c r="A1201" s="50">
        <v>2240201</v>
      </c>
      <c r="B1201" s="251" t="s">
        <v>68</v>
      </c>
      <c r="C1201" s="243"/>
      <c r="D1201" s="243"/>
      <c r="E1201" s="243">
        <f>154+50</f>
        <v>204</v>
      </c>
      <c r="F1201" s="24">
        <f t="shared" si="197"/>
        <v>0</v>
      </c>
      <c r="G1201" s="24">
        <f t="shared" si="198"/>
        <v>0</v>
      </c>
      <c r="H1201" s="243"/>
    </row>
    <row r="1202" s="34" customFormat="1" spans="1:8">
      <c r="A1202" s="50">
        <v>2240202</v>
      </c>
      <c r="B1202" s="251" t="s">
        <v>69</v>
      </c>
      <c r="C1202" s="243"/>
      <c r="D1202" s="243"/>
      <c r="E1202" s="243">
        <v>166</v>
      </c>
      <c r="F1202" s="24">
        <f t="shared" si="197"/>
        <v>0</v>
      </c>
      <c r="G1202" s="24">
        <f t="shared" si="198"/>
        <v>0</v>
      </c>
      <c r="H1202" s="243"/>
    </row>
    <row r="1203" s="34" customFormat="1" spans="1:8">
      <c r="A1203" s="50">
        <v>2240203</v>
      </c>
      <c r="B1203" s="251" t="s">
        <v>70</v>
      </c>
      <c r="C1203" s="243"/>
      <c r="D1203" s="243"/>
      <c r="E1203" s="243"/>
      <c r="F1203" s="24">
        <f t="shared" si="197"/>
        <v>0</v>
      </c>
      <c r="G1203" s="24">
        <f t="shared" si="198"/>
        <v>0</v>
      </c>
      <c r="H1203" s="243"/>
    </row>
    <row r="1204" s="34" customFormat="1" spans="1:8">
      <c r="A1204" s="50">
        <v>2240204</v>
      </c>
      <c r="B1204" s="251" t="s">
        <v>985</v>
      </c>
      <c r="C1204" s="243"/>
      <c r="D1204" s="243">
        <v>150</v>
      </c>
      <c r="E1204" s="243"/>
      <c r="F1204" s="24">
        <f t="shared" si="197"/>
        <v>0</v>
      </c>
      <c r="G1204" s="24">
        <f t="shared" si="198"/>
        <v>0</v>
      </c>
      <c r="H1204" s="243"/>
    </row>
    <row r="1205" s="34" customFormat="1" spans="1:8">
      <c r="A1205" s="50">
        <v>2240299</v>
      </c>
      <c r="B1205" s="251" t="s">
        <v>986</v>
      </c>
      <c r="C1205" s="243"/>
      <c r="D1205" s="243"/>
      <c r="E1205" s="243"/>
      <c r="F1205" s="24">
        <f t="shared" si="197"/>
        <v>0</v>
      </c>
      <c r="G1205" s="24">
        <f t="shared" si="198"/>
        <v>0</v>
      </c>
      <c r="H1205" s="243"/>
    </row>
    <row r="1206" s="34" customFormat="1" spans="1:8">
      <c r="A1206" s="50">
        <v>22404</v>
      </c>
      <c r="B1206" s="251" t="s">
        <v>987</v>
      </c>
      <c r="C1206" s="241">
        <f t="shared" ref="C1206:H1206" si="205">SUM(C1207:C1213)</f>
        <v>0</v>
      </c>
      <c r="D1206" s="241">
        <f t="shared" si="205"/>
        <v>0</v>
      </c>
      <c r="E1206" s="241">
        <f t="shared" si="205"/>
        <v>0</v>
      </c>
      <c r="F1206" s="24">
        <f t="shared" si="197"/>
        <v>0</v>
      </c>
      <c r="G1206" s="24">
        <f t="shared" si="198"/>
        <v>0</v>
      </c>
      <c r="H1206" s="241">
        <f t="shared" si="205"/>
        <v>0</v>
      </c>
    </row>
    <row r="1207" s="34" customFormat="1" spans="1:8">
      <c r="A1207" s="50">
        <v>2240401</v>
      </c>
      <c r="B1207" s="251" t="s">
        <v>68</v>
      </c>
      <c r="C1207" s="243"/>
      <c r="D1207" s="243"/>
      <c r="E1207" s="243"/>
      <c r="F1207" s="24">
        <f t="shared" si="197"/>
        <v>0</v>
      </c>
      <c r="G1207" s="24">
        <f t="shared" si="198"/>
        <v>0</v>
      </c>
      <c r="H1207" s="243"/>
    </row>
    <row r="1208" s="34" customFormat="1" spans="1:8">
      <c r="A1208" s="50">
        <v>2240402</v>
      </c>
      <c r="B1208" s="251" t="s">
        <v>69</v>
      </c>
      <c r="C1208" s="243"/>
      <c r="D1208" s="243"/>
      <c r="E1208" s="243"/>
      <c r="F1208" s="24">
        <f t="shared" si="197"/>
        <v>0</v>
      </c>
      <c r="G1208" s="24">
        <f t="shared" si="198"/>
        <v>0</v>
      </c>
      <c r="H1208" s="243"/>
    </row>
    <row r="1209" s="34" customFormat="1" spans="1:8">
      <c r="A1209" s="50">
        <v>2240403</v>
      </c>
      <c r="B1209" s="251" t="s">
        <v>70</v>
      </c>
      <c r="C1209" s="243"/>
      <c r="D1209" s="243"/>
      <c r="E1209" s="243"/>
      <c r="F1209" s="24">
        <f t="shared" si="197"/>
        <v>0</v>
      </c>
      <c r="G1209" s="24">
        <f t="shared" si="198"/>
        <v>0</v>
      </c>
      <c r="H1209" s="243"/>
    </row>
    <row r="1210" s="34" customFormat="1" spans="1:8">
      <c r="A1210" s="50">
        <v>2240404</v>
      </c>
      <c r="B1210" s="251" t="s">
        <v>988</v>
      </c>
      <c r="C1210" s="243"/>
      <c r="D1210" s="243"/>
      <c r="E1210" s="243"/>
      <c r="F1210" s="24">
        <f t="shared" si="197"/>
        <v>0</v>
      </c>
      <c r="G1210" s="24">
        <f t="shared" si="198"/>
        <v>0</v>
      </c>
      <c r="H1210" s="243"/>
    </row>
    <row r="1211" s="34" customFormat="1" spans="1:8">
      <c r="A1211" s="50">
        <v>2240405</v>
      </c>
      <c r="B1211" s="251" t="s">
        <v>989</v>
      </c>
      <c r="C1211" s="243"/>
      <c r="D1211" s="243"/>
      <c r="E1211" s="243"/>
      <c r="F1211" s="24">
        <f t="shared" si="197"/>
        <v>0</v>
      </c>
      <c r="G1211" s="24">
        <f t="shared" si="198"/>
        <v>0</v>
      </c>
      <c r="H1211" s="243"/>
    </row>
    <row r="1212" s="34" customFormat="1" spans="1:8">
      <c r="A1212" s="50">
        <v>2240450</v>
      </c>
      <c r="B1212" s="251" t="s">
        <v>77</v>
      </c>
      <c r="C1212" s="52"/>
      <c r="D1212" s="52"/>
      <c r="E1212" s="52"/>
      <c r="F1212" s="24">
        <f t="shared" si="197"/>
        <v>0</v>
      </c>
      <c r="G1212" s="24">
        <f t="shared" si="198"/>
        <v>0</v>
      </c>
      <c r="H1212" s="52"/>
    </row>
    <row r="1213" s="34" customFormat="1" spans="1:8">
      <c r="A1213" s="50">
        <v>2240499</v>
      </c>
      <c r="B1213" s="251" t="s">
        <v>990</v>
      </c>
      <c r="C1213" s="52"/>
      <c r="D1213" s="52"/>
      <c r="E1213" s="52"/>
      <c r="F1213" s="24">
        <f t="shared" si="197"/>
        <v>0</v>
      </c>
      <c r="G1213" s="24">
        <f t="shared" si="198"/>
        <v>0</v>
      </c>
      <c r="H1213" s="52"/>
    </row>
    <row r="1214" s="34" customFormat="1" spans="1:8">
      <c r="A1214" s="50">
        <v>22405</v>
      </c>
      <c r="B1214" s="251" t="s">
        <v>991</v>
      </c>
      <c r="C1214" s="241">
        <f t="shared" ref="C1214:H1214" si="206">SUM(C1215:C1226)</f>
        <v>1</v>
      </c>
      <c r="D1214" s="241">
        <f t="shared" si="206"/>
        <v>19</v>
      </c>
      <c r="E1214" s="241">
        <f t="shared" si="206"/>
        <v>1</v>
      </c>
      <c r="F1214" s="24">
        <f t="shared" si="197"/>
        <v>100</v>
      </c>
      <c r="G1214" s="24">
        <f t="shared" si="198"/>
        <v>5.26315789473684</v>
      </c>
      <c r="H1214" s="241">
        <f t="shared" si="206"/>
        <v>0</v>
      </c>
    </row>
    <row r="1215" s="34" customFormat="1" spans="1:8">
      <c r="A1215" s="50">
        <v>2240501</v>
      </c>
      <c r="B1215" s="251" t="s">
        <v>68</v>
      </c>
      <c r="C1215" s="243"/>
      <c r="D1215" s="243"/>
      <c r="E1215" s="243"/>
      <c r="F1215" s="24">
        <f t="shared" si="197"/>
        <v>0</v>
      </c>
      <c r="G1215" s="24">
        <f t="shared" si="198"/>
        <v>0</v>
      </c>
      <c r="H1215" s="243"/>
    </row>
    <row r="1216" s="34" customFormat="1" spans="1:8">
      <c r="A1216" s="50">
        <v>2240502</v>
      </c>
      <c r="B1216" s="251" t="s">
        <v>69</v>
      </c>
      <c r="C1216" s="243"/>
      <c r="D1216" s="243"/>
      <c r="E1216" s="243"/>
      <c r="F1216" s="24">
        <f t="shared" si="197"/>
        <v>0</v>
      </c>
      <c r="G1216" s="24">
        <f t="shared" si="198"/>
        <v>0</v>
      </c>
      <c r="H1216" s="243"/>
    </row>
    <row r="1217" s="34" customFormat="1" spans="1:8">
      <c r="A1217" s="50">
        <v>2240503</v>
      </c>
      <c r="B1217" s="251" t="s">
        <v>70</v>
      </c>
      <c r="C1217" s="243"/>
      <c r="D1217" s="243"/>
      <c r="E1217" s="243"/>
      <c r="F1217" s="24">
        <f t="shared" si="197"/>
        <v>0</v>
      </c>
      <c r="G1217" s="24">
        <f t="shared" si="198"/>
        <v>0</v>
      </c>
      <c r="H1217" s="243"/>
    </row>
    <row r="1218" s="34" customFormat="1" spans="1:8">
      <c r="A1218" s="50">
        <v>2240504</v>
      </c>
      <c r="B1218" s="251" t="s">
        <v>992</v>
      </c>
      <c r="C1218" s="243">
        <v>1</v>
      </c>
      <c r="D1218" s="243">
        <v>1</v>
      </c>
      <c r="E1218" s="243">
        <v>1</v>
      </c>
      <c r="F1218" s="24">
        <f t="shared" si="197"/>
        <v>100</v>
      </c>
      <c r="G1218" s="24">
        <f t="shared" si="198"/>
        <v>100</v>
      </c>
      <c r="H1218" s="243"/>
    </row>
    <row r="1219" s="34" customFormat="1" spans="1:8">
      <c r="A1219" s="50">
        <v>2240505</v>
      </c>
      <c r="B1219" s="251" t="s">
        <v>993</v>
      </c>
      <c r="C1219" s="243"/>
      <c r="D1219" s="243"/>
      <c r="E1219" s="243"/>
      <c r="F1219" s="24">
        <f t="shared" si="197"/>
        <v>0</v>
      </c>
      <c r="G1219" s="24">
        <f t="shared" si="198"/>
        <v>0</v>
      </c>
      <c r="H1219" s="243"/>
    </row>
    <row r="1220" s="34" customFormat="1" spans="1:8">
      <c r="A1220" s="50">
        <v>2240506</v>
      </c>
      <c r="B1220" s="251" t="s">
        <v>994</v>
      </c>
      <c r="C1220" s="243"/>
      <c r="D1220" s="243"/>
      <c r="E1220" s="243"/>
      <c r="F1220" s="24">
        <f t="shared" si="197"/>
        <v>0</v>
      </c>
      <c r="G1220" s="24">
        <f t="shared" si="198"/>
        <v>0</v>
      </c>
      <c r="H1220" s="243"/>
    </row>
    <row r="1221" s="34" customFormat="1" spans="1:8">
      <c r="A1221" s="50">
        <v>2240507</v>
      </c>
      <c r="B1221" s="251" t="s">
        <v>995</v>
      </c>
      <c r="C1221" s="243"/>
      <c r="D1221" s="243">
        <v>18</v>
      </c>
      <c r="E1221" s="243"/>
      <c r="F1221" s="24">
        <f t="shared" si="197"/>
        <v>0</v>
      </c>
      <c r="G1221" s="24">
        <f t="shared" si="198"/>
        <v>0</v>
      </c>
      <c r="H1221" s="243"/>
    </row>
    <row r="1222" s="34" customFormat="1" spans="1:8">
      <c r="A1222" s="50">
        <v>2240508</v>
      </c>
      <c r="B1222" s="251" t="s">
        <v>996</v>
      </c>
      <c r="C1222" s="243"/>
      <c r="D1222" s="243"/>
      <c r="E1222" s="243"/>
      <c r="F1222" s="24">
        <f t="shared" ref="F1222:F1250" si="207">IF(C1222&gt;0,E1222/C1222*100,)</f>
        <v>0</v>
      </c>
      <c r="G1222" s="24">
        <f t="shared" ref="G1222:G1250" si="208">IF(D1222&gt;0,E1222/D1222*100,)</f>
        <v>0</v>
      </c>
      <c r="H1222" s="243"/>
    </row>
    <row r="1223" s="34" customFormat="1" spans="1:8">
      <c r="A1223" s="50">
        <v>2240509</v>
      </c>
      <c r="B1223" s="251" t="s">
        <v>997</v>
      </c>
      <c r="C1223" s="243"/>
      <c r="D1223" s="243"/>
      <c r="E1223" s="243"/>
      <c r="F1223" s="24">
        <f t="shared" si="207"/>
        <v>0</v>
      </c>
      <c r="G1223" s="24">
        <f t="shared" si="208"/>
        <v>0</v>
      </c>
      <c r="H1223" s="243"/>
    </row>
    <row r="1224" s="34" customFormat="1" spans="1:8">
      <c r="A1224" s="50">
        <v>2240510</v>
      </c>
      <c r="B1224" s="251" t="s">
        <v>998</v>
      </c>
      <c r="C1224" s="243"/>
      <c r="D1224" s="243"/>
      <c r="E1224" s="243"/>
      <c r="F1224" s="24">
        <f t="shared" si="207"/>
        <v>0</v>
      </c>
      <c r="G1224" s="24">
        <f t="shared" si="208"/>
        <v>0</v>
      </c>
      <c r="H1224" s="243"/>
    </row>
    <row r="1225" s="34" customFormat="1" spans="1:8">
      <c r="A1225" s="50">
        <v>2240550</v>
      </c>
      <c r="B1225" s="251" t="s">
        <v>999</v>
      </c>
      <c r="C1225" s="243"/>
      <c r="D1225" s="243"/>
      <c r="E1225" s="243"/>
      <c r="F1225" s="24">
        <f t="shared" si="207"/>
        <v>0</v>
      </c>
      <c r="G1225" s="24">
        <f t="shared" si="208"/>
        <v>0</v>
      </c>
      <c r="H1225" s="243"/>
    </row>
    <row r="1226" s="34" customFormat="1" spans="1:8">
      <c r="A1226" s="50">
        <v>2240599</v>
      </c>
      <c r="B1226" s="251" t="s">
        <v>1000</v>
      </c>
      <c r="C1226" s="243"/>
      <c r="D1226" s="243"/>
      <c r="E1226" s="243"/>
      <c r="F1226" s="24">
        <f t="shared" si="207"/>
        <v>0</v>
      </c>
      <c r="G1226" s="24">
        <f t="shared" si="208"/>
        <v>0</v>
      </c>
      <c r="H1226" s="243"/>
    </row>
    <row r="1227" s="34" customFormat="1" spans="1:8">
      <c r="A1227" s="50">
        <v>22406</v>
      </c>
      <c r="B1227" s="251" t="s">
        <v>1001</v>
      </c>
      <c r="C1227" s="241">
        <f t="shared" ref="C1227:H1227" si="209">SUM(C1228:C1230)</f>
        <v>15</v>
      </c>
      <c r="D1227" s="241">
        <f t="shared" si="209"/>
        <v>181</v>
      </c>
      <c r="E1227" s="241">
        <f t="shared" si="209"/>
        <v>754</v>
      </c>
      <c r="F1227" s="24">
        <f t="shared" si="207"/>
        <v>5026.66666666667</v>
      </c>
      <c r="G1227" s="24">
        <f t="shared" si="208"/>
        <v>416.574585635359</v>
      </c>
      <c r="H1227" s="241">
        <f t="shared" si="209"/>
        <v>0</v>
      </c>
    </row>
    <row r="1228" s="34" customFormat="1" spans="1:8">
      <c r="A1228" s="50">
        <v>2240601</v>
      </c>
      <c r="B1228" s="251" t="s">
        <v>1002</v>
      </c>
      <c r="C1228" s="243">
        <v>15</v>
      </c>
      <c r="D1228" s="243">
        <v>151</v>
      </c>
      <c r="E1228" s="243">
        <v>754</v>
      </c>
      <c r="F1228" s="24">
        <f t="shared" si="207"/>
        <v>5026.66666666667</v>
      </c>
      <c r="G1228" s="24">
        <f t="shared" si="208"/>
        <v>499.337748344371</v>
      </c>
      <c r="H1228" s="243"/>
    </row>
    <row r="1229" s="34" customFormat="1" spans="1:8">
      <c r="A1229" s="50">
        <v>2240602</v>
      </c>
      <c r="B1229" s="251" t="s">
        <v>1003</v>
      </c>
      <c r="C1229" s="243"/>
      <c r="D1229" s="243">
        <v>30</v>
      </c>
      <c r="E1229" s="243"/>
      <c r="F1229" s="24">
        <f t="shared" si="207"/>
        <v>0</v>
      </c>
      <c r="G1229" s="24">
        <f t="shared" si="208"/>
        <v>0</v>
      </c>
      <c r="H1229" s="243"/>
    </row>
    <row r="1230" s="34" customFormat="1" spans="1:8">
      <c r="A1230" s="50">
        <v>2240699</v>
      </c>
      <c r="B1230" s="251" t="s">
        <v>1004</v>
      </c>
      <c r="C1230" s="243"/>
      <c r="D1230" s="243"/>
      <c r="E1230" s="243"/>
      <c r="F1230" s="24">
        <f t="shared" si="207"/>
        <v>0</v>
      </c>
      <c r="G1230" s="24">
        <f t="shared" si="208"/>
        <v>0</v>
      </c>
      <c r="H1230" s="243"/>
    </row>
    <row r="1231" s="34" customFormat="1" spans="1:8">
      <c r="A1231" s="50">
        <v>22407</v>
      </c>
      <c r="B1231" s="251" t="s">
        <v>1005</v>
      </c>
      <c r="C1231" s="241">
        <f t="shared" ref="C1231:H1231" si="210">SUM(C1232:C1234)</f>
        <v>200</v>
      </c>
      <c r="D1231" s="241">
        <f t="shared" si="210"/>
        <v>414</v>
      </c>
      <c r="E1231" s="241">
        <f t="shared" si="210"/>
        <v>157</v>
      </c>
      <c r="F1231" s="24">
        <f t="shared" si="207"/>
        <v>78.5</v>
      </c>
      <c r="G1231" s="24">
        <f t="shared" si="208"/>
        <v>37.9227053140097</v>
      </c>
      <c r="H1231" s="241">
        <f t="shared" si="210"/>
        <v>0</v>
      </c>
    </row>
    <row r="1232" s="34" customFormat="1" spans="1:8">
      <c r="A1232" s="50">
        <v>2240703</v>
      </c>
      <c r="B1232" s="251" t="s">
        <v>1006</v>
      </c>
      <c r="C1232" s="243">
        <v>30</v>
      </c>
      <c r="D1232" s="243">
        <v>138</v>
      </c>
      <c r="E1232" s="243">
        <v>121</v>
      </c>
      <c r="F1232" s="24">
        <f t="shared" si="207"/>
        <v>403.333333333333</v>
      </c>
      <c r="G1232" s="24">
        <f t="shared" si="208"/>
        <v>87.6811594202899</v>
      </c>
      <c r="H1232" s="243"/>
    </row>
    <row r="1233" s="34" customFormat="1" spans="1:8">
      <c r="A1233" s="50">
        <v>2240704</v>
      </c>
      <c r="B1233" s="251" t="s">
        <v>1007</v>
      </c>
      <c r="C1233" s="243">
        <v>0</v>
      </c>
      <c r="D1233" s="243">
        <v>276</v>
      </c>
      <c r="E1233" s="243">
        <v>6</v>
      </c>
      <c r="F1233" s="24">
        <f t="shared" si="207"/>
        <v>0</v>
      </c>
      <c r="G1233" s="24">
        <f t="shared" si="208"/>
        <v>2.17391304347826</v>
      </c>
      <c r="H1233" s="243"/>
    </row>
    <row r="1234" s="34" customFormat="1" spans="1:8">
      <c r="A1234" s="50">
        <v>2240799</v>
      </c>
      <c r="B1234" s="251" t="s">
        <v>1008</v>
      </c>
      <c r="C1234" s="243">
        <v>170</v>
      </c>
      <c r="D1234" s="243"/>
      <c r="E1234" s="243">
        <v>30</v>
      </c>
      <c r="F1234" s="24">
        <f t="shared" si="207"/>
        <v>17.6470588235294</v>
      </c>
      <c r="G1234" s="24">
        <f t="shared" si="208"/>
        <v>0</v>
      </c>
      <c r="H1234" s="243"/>
    </row>
    <row r="1235" s="34" customFormat="1" spans="1:8">
      <c r="A1235" s="50">
        <v>22499</v>
      </c>
      <c r="B1235" s="251" t="s">
        <v>1009</v>
      </c>
      <c r="C1235" s="243">
        <v>1725</v>
      </c>
      <c r="D1235" s="243">
        <v>350</v>
      </c>
      <c r="E1235" s="243">
        <v>1405</v>
      </c>
      <c r="F1235" s="24">
        <f t="shared" si="207"/>
        <v>81.4492753623188</v>
      </c>
      <c r="G1235" s="24">
        <f t="shared" si="208"/>
        <v>401.428571428571</v>
      </c>
      <c r="H1235" s="243"/>
    </row>
    <row r="1236" s="34" customFormat="1" spans="1:8">
      <c r="A1236" s="50">
        <v>227</v>
      </c>
      <c r="B1236" s="251" t="s">
        <v>1010</v>
      </c>
      <c r="C1236" s="243">
        <v>2615</v>
      </c>
      <c r="D1236" s="243"/>
      <c r="E1236" s="243">
        <v>1500</v>
      </c>
      <c r="F1236" s="24">
        <f t="shared" si="207"/>
        <v>57.3613766730402</v>
      </c>
      <c r="G1236" s="24">
        <f t="shared" si="208"/>
        <v>0</v>
      </c>
      <c r="H1236" s="243"/>
    </row>
    <row r="1237" s="34" customFormat="1" spans="1:8">
      <c r="A1237" s="50">
        <v>229</v>
      </c>
      <c r="B1237" s="240" t="s">
        <v>1011</v>
      </c>
      <c r="C1237" s="241">
        <f t="shared" ref="C1237:H1237" si="211">SUM(C1238:C1239)</f>
        <v>6695</v>
      </c>
      <c r="D1237" s="241">
        <f t="shared" si="211"/>
        <v>25</v>
      </c>
      <c r="E1237" s="241">
        <f t="shared" si="211"/>
        <v>1028</v>
      </c>
      <c r="F1237" s="24">
        <f t="shared" si="207"/>
        <v>15.3547423450336</v>
      </c>
      <c r="G1237" s="24">
        <f t="shared" si="208"/>
        <v>4112</v>
      </c>
      <c r="H1237" s="241">
        <f t="shared" si="211"/>
        <v>0</v>
      </c>
    </row>
    <row r="1238" s="34" customFormat="1" spans="1:8">
      <c r="A1238" s="50">
        <v>22902</v>
      </c>
      <c r="B1238" s="240" t="s">
        <v>1012</v>
      </c>
      <c r="C1238" s="243">
        <v>6600</v>
      </c>
      <c r="D1238" s="243"/>
      <c r="E1238" s="243">
        <f>6842+250-6078</f>
        <v>1014</v>
      </c>
      <c r="F1238" s="24">
        <f t="shared" si="207"/>
        <v>15.3636363636364</v>
      </c>
      <c r="G1238" s="24">
        <f t="shared" si="208"/>
        <v>0</v>
      </c>
      <c r="H1238" s="243"/>
    </row>
    <row r="1239" s="34" customFormat="1" spans="1:8">
      <c r="A1239" s="50">
        <v>22999</v>
      </c>
      <c r="B1239" s="240" t="s">
        <v>878</v>
      </c>
      <c r="C1239" s="243">
        <v>95</v>
      </c>
      <c r="D1239" s="243">
        <v>25</v>
      </c>
      <c r="E1239" s="243">
        <v>14</v>
      </c>
      <c r="F1239" s="24">
        <f t="shared" si="207"/>
        <v>14.7368421052632</v>
      </c>
      <c r="G1239" s="24">
        <f t="shared" si="208"/>
        <v>56</v>
      </c>
      <c r="H1239" s="243"/>
    </row>
    <row r="1240" s="34" customFormat="1" spans="1:8">
      <c r="A1240" s="50">
        <v>232</v>
      </c>
      <c r="B1240" s="251" t="s">
        <v>1013</v>
      </c>
      <c r="C1240" s="241">
        <f t="shared" ref="C1240:H1240" si="212">C1241</f>
        <v>2759</v>
      </c>
      <c r="D1240" s="241">
        <f t="shared" si="212"/>
        <v>2718</v>
      </c>
      <c r="E1240" s="241">
        <f t="shared" si="212"/>
        <v>3760</v>
      </c>
      <c r="F1240" s="24">
        <f t="shared" si="207"/>
        <v>136.281261326568</v>
      </c>
      <c r="G1240" s="24">
        <f t="shared" si="208"/>
        <v>138.337012509198</v>
      </c>
      <c r="H1240" s="241">
        <f t="shared" si="212"/>
        <v>0</v>
      </c>
    </row>
    <row r="1241" s="34" customFormat="1" spans="1:8">
      <c r="A1241" s="50">
        <v>23203</v>
      </c>
      <c r="B1241" s="251" t="s">
        <v>1014</v>
      </c>
      <c r="C1241" s="241">
        <f t="shared" ref="C1241:H1241" si="213">SUM(C1242:C1245)</f>
        <v>2759</v>
      </c>
      <c r="D1241" s="241">
        <f t="shared" si="213"/>
        <v>2718</v>
      </c>
      <c r="E1241" s="241">
        <f t="shared" si="213"/>
        <v>3760</v>
      </c>
      <c r="F1241" s="24">
        <f t="shared" si="207"/>
        <v>136.281261326568</v>
      </c>
      <c r="G1241" s="24">
        <f t="shared" si="208"/>
        <v>138.337012509198</v>
      </c>
      <c r="H1241" s="241">
        <f t="shared" si="213"/>
        <v>0</v>
      </c>
    </row>
    <row r="1242" s="34" customFormat="1" spans="1:8">
      <c r="A1242" s="50">
        <v>2320301</v>
      </c>
      <c r="B1242" s="251" t="s">
        <v>1015</v>
      </c>
      <c r="C1242" s="243">
        <v>2567</v>
      </c>
      <c r="D1242" s="243">
        <v>2607</v>
      </c>
      <c r="E1242" s="243">
        <v>3007</v>
      </c>
      <c r="F1242" s="24">
        <f t="shared" si="207"/>
        <v>117.140631086872</v>
      </c>
      <c r="G1242" s="24">
        <f t="shared" si="208"/>
        <v>115.343306482547</v>
      </c>
      <c r="H1242" s="243"/>
    </row>
    <row r="1243" s="34" customFormat="1" spans="1:8">
      <c r="A1243" s="50">
        <v>2320302</v>
      </c>
      <c r="B1243" s="251" t="s">
        <v>1016</v>
      </c>
      <c r="C1243" s="243">
        <v>0</v>
      </c>
      <c r="D1243" s="243"/>
      <c r="E1243" s="243"/>
      <c r="F1243" s="24">
        <f t="shared" si="207"/>
        <v>0</v>
      </c>
      <c r="G1243" s="24">
        <f t="shared" si="208"/>
        <v>0</v>
      </c>
      <c r="H1243" s="243"/>
    </row>
    <row r="1244" s="34" customFormat="1" spans="1:8">
      <c r="A1244" s="50">
        <v>2320303</v>
      </c>
      <c r="B1244" s="251" t="s">
        <v>1017</v>
      </c>
      <c r="C1244" s="243">
        <v>192</v>
      </c>
      <c r="D1244" s="243">
        <v>111</v>
      </c>
      <c r="E1244" s="243">
        <v>371</v>
      </c>
      <c r="F1244" s="24">
        <f t="shared" si="207"/>
        <v>193.229166666667</v>
      </c>
      <c r="G1244" s="24">
        <f t="shared" si="208"/>
        <v>334.234234234234</v>
      </c>
      <c r="H1244" s="243"/>
    </row>
    <row r="1245" s="34" customFormat="1" spans="1:8">
      <c r="A1245" s="50">
        <v>2320399</v>
      </c>
      <c r="B1245" s="251" t="s">
        <v>1018</v>
      </c>
      <c r="C1245" s="243"/>
      <c r="D1245" s="243"/>
      <c r="E1245" s="243">
        <v>382</v>
      </c>
      <c r="F1245" s="24">
        <f t="shared" si="207"/>
        <v>0</v>
      </c>
      <c r="G1245" s="24">
        <f t="shared" si="208"/>
        <v>0</v>
      </c>
      <c r="H1245" s="243"/>
    </row>
    <row r="1246" s="34" customFormat="1" spans="1:8">
      <c r="A1246" s="50">
        <v>233</v>
      </c>
      <c r="B1246" s="240" t="s">
        <v>1019</v>
      </c>
      <c r="C1246" s="241">
        <f t="shared" ref="C1246:H1246" si="214">SUM(C1247)</f>
        <v>11</v>
      </c>
      <c r="D1246" s="241">
        <f t="shared" si="214"/>
        <v>17</v>
      </c>
      <c r="E1246" s="241">
        <f t="shared" si="214"/>
        <v>33</v>
      </c>
      <c r="F1246" s="24">
        <f t="shared" si="207"/>
        <v>300</v>
      </c>
      <c r="G1246" s="24">
        <f t="shared" si="208"/>
        <v>194.117647058824</v>
      </c>
      <c r="H1246" s="241">
        <f t="shared" si="214"/>
        <v>0</v>
      </c>
    </row>
    <row r="1247" s="34" customFormat="1" spans="1:8">
      <c r="A1247" s="50">
        <v>23303</v>
      </c>
      <c r="B1247" s="240" t="s">
        <v>1020</v>
      </c>
      <c r="C1247" s="243">
        <v>11</v>
      </c>
      <c r="D1247" s="243">
        <v>17</v>
      </c>
      <c r="E1247" s="243">
        <v>33</v>
      </c>
      <c r="F1247" s="24">
        <f t="shared" si="207"/>
        <v>300</v>
      </c>
      <c r="G1247" s="24">
        <f t="shared" si="208"/>
        <v>194.117647058824</v>
      </c>
      <c r="H1247" s="243"/>
    </row>
    <row r="1248" s="34" customFormat="1" spans="1:8">
      <c r="A1248" s="50"/>
      <c r="B1248" s="240"/>
      <c r="C1248" s="243"/>
      <c r="D1248" s="243"/>
      <c r="E1248" s="243"/>
      <c r="F1248" s="24">
        <f t="shared" si="207"/>
        <v>0</v>
      </c>
      <c r="G1248" s="24">
        <f t="shared" si="208"/>
        <v>0</v>
      </c>
      <c r="H1248" s="243"/>
    </row>
    <row r="1249" s="34" customFormat="1" spans="1:8">
      <c r="A1249" s="50"/>
      <c r="B1249" s="240"/>
      <c r="C1249" s="243"/>
      <c r="D1249" s="243"/>
      <c r="E1249" s="243"/>
      <c r="F1249" s="24">
        <f t="shared" si="207"/>
        <v>0</v>
      </c>
      <c r="G1249" s="24">
        <f t="shared" si="208"/>
        <v>0</v>
      </c>
      <c r="H1249" s="243"/>
    </row>
    <row r="1250" s="34" customFormat="1" spans="1:8">
      <c r="A1250" s="50"/>
      <c r="B1250" s="252" t="s">
        <v>1021</v>
      </c>
      <c r="C1250" s="241">
        <f t="shared" ref="C1250:H1250" si="215">SUM(C6,C235,C239,C249,C339,C390,C446,C503,C629,C700,C772,C791,C898,C956,C1020,C1040,C1070,C1080,C1124,C1144,C1188,C1236,C1237,C1240,C1246)</f>
        <v>170242</v>
      </c>
      <c r="D1250" s="241">
        <f t="shared" si="215"/>
        <v>202016</v>
      </c>
      <c r="E1250" s="241">
        <f t="shared" si="215"/>
        <v>188857</v>
      </c>
      <c r="F1250" s="24">
        <f t="shared" si="207"/>
        <v>110.934434510873</v>
      </c>
      <c r="G1250" s="24">
        <f t="shared" si="208"/>
        <v>93.4861595121179</v>
      </c>
      <c r="H1250" s="241">
        <f t="shared" si="215"/>
        <v>0</v>
      </c>
    </row>
  </sheetData>
  <mergeCells count="6">
    <mergeCell ref="A2:G2"/>
    <mergeCell ref="A4:B4"/>
    <mergeCell ref="E4:G4"/>
    <mergeCell ref="C4:C5"/>
    <mergeCell ref="D4:D5"/>
    <mergeCell ref="H4:H5"/>
  </mergeCells>
  <printOptions horizontalCentered="1"/>
  <pageMargins left="0.393700787401575" right="0.393700787401575" top="0.590551181102362" bottom="0.62992125984252" header="0.393700787401575" footer="0.393700787401575"/>
  <pageSetup paperSize="9" scale="80" firstPageNumber="12" orientation="landscape" useFirstPageNumber="1"/>
  <headerFooter differentOddEven="1">
    <oddFooter>&amp;L&amp;16—&amp;P—</oddFooter>
    <evenFooter>&amp;R&amp;16—&amp;P—</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8"/>
  <sheetViews>
    <sheetView showGridLines="0" showZeros="0" workbookViewId="0">
      <pane ySplit="6" topLeftCell="A7" activePane="bottomLeft" state="frozen"/>
      <selection/>
      <selection pane="bottomLeft" activeCell="D15" sqref="D15"/>
    </sheetView>
  </sheetViews>
  <sheetFormatPr defaultColWidth="9" defaultRowHeight="13.5"/>
  <cols>
    <col min="1" max="1" width="41.7" style="189" customWidth="1"/>
    <col min="2" max="6" width="10.5" style="189" customWidth="1"/>
    <col min="7" max="7" width="25" style="189" customWidth="1"/>
    <col min="8" max="12" width="10.1" style="189" customWidth="1"/>
    <col min="13" max="16384" width="9" style="189"/>
  </cols>
  <sheetData>
    <row r="1" ht="18" customHeight="1" spans="1:4">
      <c r="A1" s="190" t="s">
        <v>1022</v>
      </c>
      <c r="B1" s="190"/>
      <c r="C1" s="190"/>
      <c r="D1" s="190"/>
    </row>
    <row r="2" s="186" customFormat="1" ht="22.5" spans="1:12">
      <c r="A2" s="191" t="s">
        <v>1023</v>
      </c>
      <c r="B2" s="191"/>
      <c r="C2" s="191"/>
      <c r="D2" s="191"/>
      <c r="E2" s="191"/>
      <c r="F2" s="191"/>
      <c r="G2" s="191"/>
      <c r="H2" s="191"/>
      <c r="I2" s="191"/>
      <c r="J2" s="191"/>
      <c r="K2" s="191"/>
      <c r="L2" s="191"/>
    </row>
    <row r="3" ht="20.25" customHeight="1" spans="12:12">
      <c r="L3" s="218" t="s">
        <v>26</v>
      </c>
    </row>
    <row r="4" ht="31.5" customHeight="1" spans="1:12">
      <c r="A4" s="192" t="s">
        <v>1024</v>
      </c>
      <c r="B4" s="193"/>
      <c r="C4" s="193"/>
      <c r="D4" s="193"/>
      <c r="E4" s="193"/>
      <c r="F4" s="194"/>
      <c r="G4" s="192" t="s">
        <v>1025</v>
      </c>
      <c r="H4" s="193"/>
      <c r="I4" s="193"/>
      <c r="J4" s="193"/>
      <c r="K4" s="193"/>
      <c r="L4" s="194"/>
    </row>
    <row r="5" ht="22.05" customHeight="1" spans="1:12">
      <c r="A5" s="195" t="s">
        <v>27</v>
      </c>
      <c r="B5" s="40" t="s">
        <v>28</v>
      </c>
      <c r="C5" s="40" t="s">
        <v>29</v>
      </c>
      <c r="D5" s="66" t="s">
        <v>30</v>
      </c>
      <c r="E5" s="66"/>
      <c r="F5" s="66"/>
      <c r="G5" s="196" t="s">
        <v>27</v>
      </c>
      <c r="H5" s="40" t="s">
        <v>28</v>
      </c>
      <c r="I5" s="40" t="s">
        <v>29</v>
      </c>
      <c r="J5" s="66" t="s">
        <v>30</v>
      </c>
      <c r="K5" s="66"/>
      <c r="L5" s="66"/>
    </row>
    <row r="6" ht="37.05" customHeight="1" spans="1:14">
      <c r="A6" s="197"/>
      <c r="B6" s="43"/>
      <c r="C6" s="43"/>
      <c r="D6" s="66" t="s">
        <v>34</v>
      </c>
      <c r="E6" s="73" t="s">
        <v>35</v>
      </c>
      <c r="F6" s="73" t="s">
        <v>36</v>
      </c>
      <c r="G6" s="196"/>
      <c r="H6" s="43"/>
      <c r="I6" s="43"/>
      <c r="J6" s="66" t="s">
        <v>34</v>
      </c>
      <c r="K6" s="73" t="s">
        <v>35</v>
      </c>
      <c r="L6" s="73" t="s">
        <v>36</v>
      </c>
      <c r="M6" s="219" t="s">
        <v>31</v>
      </c>
      <c r="N6" s="220"/>
    </row>
    <row r="7" ht="20.1" customHeight="1" spans="1:14">
      <c r="A7" s="198" t="s">
        <v>1026</v>
      </c>
      <c r="B7" s="199">
        <f>表一!C33</f>
        <v>23504</v>
      </c>
      <c r="C7" s="199">
        <f>表一!D33</f>
        <v>21974</v>
      </c>
      <c r="D7" s="199">
        <f>表一!E33</f>
        <v>26383</v>
      </c>
      <c r="E7" s="200">
        <f>IF(B7&gt;0,D7/B7*100,)</f>
        <v>112.248978897209</v>
      </c>
      <c r="F7" s="200">
        <f>IF(C7&gt;0,D7/C7*100,)</f>
        <v>120.064621825794</v>
      </c>
      <c r="G7" s="201" t="s">
        <v>1027</v>
      </c>
      <c r="H7" s="199">
        <f>表二!C1250</f>
        <v>170242</v>
      </c>
      <c r="I7" s="199">
        <f>表二!D1250</f>
        <v>202016</v>
      </c>
      <c r="J7" s="199">
        <f>表二!E1250</f>
        <v>188857</v>
      </c>
      <c r="K7" s="24">
        <f t="shared" ref="K7" si="0">IF(H7&gt;0,J7/H7*100,)</f>
        <v>110.934434510873</v>
      </c>
      <c r="L7" s="24">
        <f t="shared" ref="L7" si="1">IF(I7&gt;0,J7/I7*100,)</f>
        <v>93.4861595121179</v>
      </c>
      <c r="M7" s="199"/>
      <c r="N7" s="199"/>
    </row>
    <row r="8" ht="20.1" customHeight="1" spans="1:14">
      <c r="A8" s="202" t="s">
        <v>1028</v>
      </c>
      <c r="B8" s="203">
        <f>SUM(B9,B78,B81,B82,B83,B88,B89,B90,B91,B92,B93)</f>
        <v>152026</v>
      </c>
      <c r="C8" s="203">
        <f t="shared" ref="C8:D8" si="2">SUM(C9,C78,C81,C82,C83,C88,C89,C90,C91,C92,C93)</f>
        <v>214961</v>
      </c>
      <c r="D8" s="203">
        <f t="shared" si="2"/>
        <v>175311</v>
      </c>
      <c r="E8" s="204"/>
      <c r="F8" s="205"/>
      <c r="G8" s="204" t="s">
        <v>1029</v>
      </c>
      <c r="H8" s="203">
        <f>SUM(H9,H84:H93)</f>
        <v>5288</v>
      </c>
      <c r="I8" s="203">
        <f t="shared" ref="I8:J8" si="3">SUM(I9,I84:I93)</f>
        <v>34919</v>
      </c>
      <c r="J8" s="203">
        <f t="shared" si="3"/>
        <v>12837</v>
      </c>
      <c r="K8" s="204"/>
      <c r="L8" s="205"/>
      <c r="M8" s="203">
        <f>SUM(M9,M78,M81,M82,M83,M88,M89,M90,M91,M92,M93)</f>
        <v>0</v>
      </c>
      <c r="N8" s="203">
        <f>SUM(N9,N84:N93)</f>
        <v>0</v>
      </c>
    </row>
    <row r="9" ht="20.1" customHeight="1" spans="1:14">
      <c r="A9" s="206" t="s">
        <v>1030</v>
      </c>
      <c r="B9" s="207">
        <f>SUM(B10,B17,B53)</f>
        <v>132944</v>
      </c>
      <c r="C9" s="207">
        <f t="shared" ref="C9:D9" si="4">SUM(C10,C17,C53)</f>
        <v>182126</v>
      </c>
      <c r="D9" s="207">
        <f t="shared" si="4"/>
        <v>130112</v>
      </c>
      <c r="E9" s="208"/>
      <c r="F9" s="205"/>
      <c r="G9" s="208" t="s">
        <v>1031</v>
      </c>
      <c r="H9" s="207">
        <f>SUM(H10:H11)</f>
        <v>535</v>
      </c>
      <c r="I9" s="207">
        <f t="shared" ref="I9:J9" si="5">SUM(I10:I11)</f>
        <v>1484</v>
      </c>
      <c r="J9" s="207">
        <f t="shared" si="5"/>
        <v>659</v>
      </c>
      <c r="K9" s="208"/>
      <c r="L9" s="205"/>
      <c r="M9" s="207">
        <f>SUM(M10,M17,M53)</f>
        <v>0</v>
      </c>
      <c r="N9" s="207">
        <f>SUM(N10:N11)</f>
        <v>0</v>
      </c>
    </row>
    <row r="10" ht="20.1" customHeight="1" spans="1:14">
      <c r="A10" s="206" t="s">
        <v>1032</v>
      </c>
      <c r="B10" s="207">
        <f>SUM(B11:B16)</f>
        <v>2899</v>
      </c>
      <c r="C10" s="207">
        <f t="shared" ref="C10:D10" si="6">SUM(C11:C16)</f>
        <v>3444</v>
      </c>
      <c r="D10" s="207">
        <f t="shared" si="6"/>
        <v>3444</v>
      </c>
      <c r="E10" s="208"/>
      <c r="F10" s="205"/>
      <c r="G10" s="208" t="s">
        <v>1033</v>
      </c>
      <c r="H10" s="208"/>
      <c r="I10" s="208">
        <v>167</v>
      </c>
      <c r="J10" s="208">
        <v>659</v>
      </c>
      <c r="K10" s="208"/>
      <c r="L10" s="205"/>
      <c r="M10" s="207">
        <f>SUM(M11:M16)</f>
        <v>0</v>
      </c>
      <c r="N10" s="208"/>
    </row>
    <row r="11" ht="20.1" customHeight="1" spans="1:14">
      <c r="A11" s="81" t="s">
        <v>1034</v>
      </c>
      <c r="B11" s="205">
        <v>586</v>
      </c>
      <c r="C11" s="205">
        <v>586</v>
      </c>
      <c r="D11" s="205">
        <v>586</v>
      </c>
      <c r="E11" s="205"/>
      <c r="F11" s="205"/>
      <c r="G11" s="208" t="s">
        <v>1035</v>
      </c>
      <c r="H11" s="208">
        <v>535</v>
      </c>
      <c r="I11" s="208">
        <v>1317</v>
      </c>
      <c r="J11" s="208"/>
      <c r="K11" s="208"/>
      <c r="L11" s="205"/>
      <c r="M11" s="205"/>
      <c r="N11" s="208"/>
    </row>
    <row r="12" ht="20.1" customHeight="1" spans="1:14">
      <c r="A12" s="81" t="s">
        <v>1036</v>
      </c>
      <c r="B12" s="205">
        <v>138</v>
      </c>
      <c r="C12" s="205">
        <v>138</v>
      </c>
      <c r="D12" s="205">
        <v>138</v>
      </c>
      <c r="E12" s="205"/>
      <c r="F12" s="205"/>
      <c r="G12" s="208"/>
      <c r="H12" s="208"/>
      <c r="I12" s="208"/>
      <c r="J12" s="208"/>
      <c r="K12" s="208"/>
      <c r="L12" s="205"/>
      <c r="M12" s="205"/>
      <c r="N12" s="208"/>
    </row>
    <row r="13" ht="20.1" customHeight="1" spans="1:14">
      <c r="A13" s="81" t="s">
        <v>1037</v>
      </c>
      <c r="B13" s="205">
        <v>1420</v>
      </c>
      <c r="C13" s="205">
        <v>1420</v>
      </c>
      <c r="D13" s="205">
        <f>875+545</f>
        <v>1420</v>
      </c>
      <c r="E13" s="205"/>
      <c r="F13" s="205"/>
      <c r="G13" s="208" t="s">
        <v>5</v>
      </c>
      <c r="H13" s="208"/>
      <c r="I13" s="208"/>
      <c r="J13" s="208"/>
      <c r="K13" s="208"/>
      <c r="L13" s="205"/>
      <c r="M13" s="205"/>
      <c r="N13" s="208"/>
    </row>
    <row r="14" ht="20.1" customHeight="1" spans="1:14">
      <c r="A14" s="81" t="s">
        <v>1038</v>
      </c>
      <c r="B14" s="205">
        <v>0</v>
      </c>
      <c r="C14" s="205">
        <v>0</v>
      </c>
      <c r="D14" s="205">
        <v>0</v>
      </c>
      <c r="E14" s="205"/>
      <c r="F14" s="205"/>
      <c r="G14" s="208" t="s">
        <v>5</v>
      </c>
      <c r="H14" s="208"/>
      <c r="I14" s="208"/>
      <c r="J14" s="208"/>
      <c r="K14" s="208"/>
      <c r="L14" s="205"/>
      <c r="M14" s="205"/>
      <c r="N14" s="208"/>
    </row>
    <row r="15" ht="20.1" customHeight="1" spans="1:14">
      <c r="A15" s="81" t="s">
        <v>1039</v>
      </c>
      <c r="B15" s="205">
        <v>-545</v>
      </c>
      <c r="C15" s="205">
        <v>0</v>
      </c>
      <c r="D15" s="205">
        <v>0</v>
      </c>
      <c r="E15" s="205"/>
      <c r="F15" s="205"/>
      <c r="G15" s="208" t="s">
        <v>5</v>
      </c>
      <c r="H15" s="208"/>
      <c r="I15" s="208"/>
      <c r="J15" s="208"/>
      <c r="K15" s="208"/>
      <c r="L15" s="205"/>
      <c r="M15" s="205"/>
      <c r="N15" s="208"/>
    </row>
    <row r="16" ht="20.1" customHeight="1" spans="1:14">
      <c r="A16" s="81" t="s">
        <v>1040</v>
      </c>
      <c r="B16" s="205">
        <v>1300</v>
      </c>
      <c r="C16" s="205">
        <v>1300</v>
      </c>
      <c r="D16" s="205">
        <v>1300</v>
      </c>
      <c r="E16" s="205"/>
      <c r="F16" s="205"/>
      <c r="G16" s="208" t="s">
        <v>5</v>
      </c>
      <c r="H16" s="208"/>
      <c r="I16" s="208"/>
      <c r="J16" s="208"/>
      <c r="K16" s="208"/>
      <c r="L16" s="205"/>
      <c r="M16" s="205"/>
      <c r="N16" s="208"/>
    </row>
    <row r="17" ht="20.1" customHeight="1" spans="1:14">
      <c r="A17" s="81" t="s">
        <v>1041</v>
      </c>
      <c r="B17" s="209">
        <f>SUM(B18:B52)</f>
        <v>123550</v>
      </c>
      <c r="C17" s="209">
        <f t="shared" ref="C17:D17" si="7">SUM(C18:C52)</f>
        <v>151751</v>
      </c>
      <c r="D17" s="209">
        <f t="shared" si="7"/>
        <v>119428</v>
      </c>
      <c r="E17" s="205"/>
      <c r="F17" s="205"/>
      <c r="G17" s="208" t="s">
        <v>5</v>
      </c>
      <c r="H17" s="208"/>
      <c r="I17" s="208"/>
      <c r="J17" s="208"/>
      <c r="K17" s="208" t="s">
        <v>5</v>
      </c>
      <c r="L17" s="205"/>
      <c r="M17" s="209">
        <f>SUM(M18:M52)</f>
        <v>0</v>
      </c>
      <c r="N17" s="208"/>
    </row>
    <row r="18" ht="20.1" customHeight="1" spans="1:14">
      <c r="A18" s="81" t="s">
        <v>1042</v>
      </c>
      <c r="B18" s="205">
        <v>1280</v>
      </c>
      <c r="C18" s="205">
        <v>1280</v>
      </c>
      <c r="D18" s="205">
        <v>1280</v>
      </c>
      <c r="E18" s="205"/>
      <c r="F18" s="205"/>
      <c r="G18" s="208" t="s">
        <v>5</v>
      </c>
      <c r="H18" s="208"/>
      <c r="I18" s="208"/>
      <c r="J18" s="208"/>
      <c r="K18" s="208"/>
      <c r="L18" s="205"/>
      <c r="M18" s="205"/>
      <c r="N18" s="208"/>
    </row>
    <row r="19" ht="20.1" customHeight="1" spans="1:14">
      <c r="A19" s="210" t="s">
        <v>1043</v>
      </c>
      <c r="B19" s="205">
        <v>36645</v>
      </c>
      <c r="C19" s="205">
        <v>33510</v>
      </c>
      <c r="D19" s="205">
        <f>32358+3000</f>
        <v>35358</v>
      </c>
      <c r="E19" s="205"/>
      <c r="F19" s="205"/>
      <c r="G19" s="208" t="s">
        <v>5</v>
      </c>
      <c r="H19" s="208"/>
      <c r="I19" s="208"/>
      <c r="J19" s="208"/>
      <c r="K19" s="208"/>
      <c r="L19" s="205"/>
      <c r="M19" s="205"/>
      <c r="N19" s="208"/>
    </row>
    <row r="20" s="187" customFormat="1" ht="33" customHeight="1" spans="1:14">
      <c r="A20" s="211" t="s">
        <v>1044</v>
      </c>
      <c r="B20" s="212">
        <v>6442</v>
      </c>
      <c r="C20" s="212">
        <v>7481</v>
      </c>
      <c r="D20" s="212">
        <v>8354</v>
      </c>
      <c r="E20" s="212"/>
      <c r="F20" s="212"/>
      <c r="G20" s="213" t="s">
        <v>5</v>
      </c>
      <c r="H20" s="213"/>
      <c r="I20" s="213"/>
      <c r="J20" s="213"/>
      <c r="K20" s="213"/>
      <c r="L20" s="212"/>
      <c r="M20" s="212"/>
      <c r="N20" s="213"/>
    </row>
    <row r="21" ht="20.1" customHeight="1" spans="1:14">
      <c r="A21" s="214" t="s">
        <v>1045</v>
      </c>
      <c r="B21" s="205">
        <v>810</v>
      </c>
      <c r="C21" s="205">
        <v>6712</v>
      </c>
      <c r="D21" s="205"/>
      <c r="E21" s="205"/>
      <c r="F21" s="205"/>
      <c r="G21" s="208" t="s">
        <v>5</v>
      </c>
      <c r="H21" s="208"/>
      <c r="I21" s="208"/>
      <c r="J21" s="208"/>
      <c r="K21" s="208"/>
      <c r="L21" s="205"/>
      <c r="M21" s="205"/>
      <c r="N21" s="208"/>
    </row>
    <row r="22" ht="20.1" customHeight="1" spans="1:14">
      <c r="A22" s="214" t="s">
        <v>1046</v>
      </c>
      <c r="B22" s="205"/>
      <c r="C22" s="205">
        <v>0</v>
      </c>
      <c r="D22" s="205"/>
      <c r="E22" s="205"/>
      <c r="F22" s="205"/>
      <c r="G22" s="208" t="s">
        <v>5</v>
      </c>
      <c r="H22" s="208"/>
      <c r="I22" s="208"/>
      <c r="J22" s="208"/>
      <c r="K22" s="208"/>
      <c r="L22" s="205"/>
      <c r="M22" s="205"/>
      <c r="N22" s="208"/>
    </row>
    <row r="23" ht="20.1" customHeight="1" spans="1:14">
      <c r="A23" s="214" t="s">
        <v>1047</v>
      </c>
      <c r="B23" s="205"/>
      <c r="C23" s="205">
        <v>0</v>
      </c>
      <c r="D23" s="205"/>
      <c r="E23" s="205"/>
      <c r="F23" s="205"/>
      <c r="G23" s="208" t="s">
        <v>5</v>
      </c>
      <c r="H23" s="208"/>
      <c r="I23" s="208"/>
      <c r="J23" s="208"/>
      <c r="K23" s="208"/>
      <c r="L23" s="205"/>
      <c r="M23" s="205"/>
      <c r="N23" s="208"/>
    </row>
    <row r="24" ht="20.1" customHeight="1" spans="1:14">
      <c r="A24" s="214" t="s">
        <v>1048</v>
      </c>
      <c r="B24" s="205">
        <v>166</v>
      </c>
      <c r="C24" s="205">
        <v>213</v>
      </c>
      <c r="D24" s="205">
        <v>192</v>
      </c>
      <c r="E24" s="205"/>
      <c r="F24" s="205"/>
      <c r="G24" s="205" t="s">
        <v>5</v>
      </c>
      <c r="H24" s="205"/>
      <c r="I24" s="205"/>
      <c r="J24" s="205"/>
      <c r="K24" s="205"/>
      <c r="L24" s="205"/>
      <c r="M24" s="205"/>
      <c r="N24" s="205"/>
    </row>
    <row r="25" ht="20.1" customHeight="1" spans="1:14">
      <c r="A25" s="214" t="s">
        <v>1049</v>
      </c>
      <c r="B25" s="205">
        <v>4783</v>
      </c>
      <c r="C25" s="205">
        <v>6989</v>
      </c>
      <c r="D25" s="205">
        <f>5019+232</f>
        <v>5251</v>
      </c>
      <c r="E25" s="205"/>
      <c r="F25" s="205"/>
      <c r="G25" s="205" t="s">
        <v>5</v>
      </c>
      <c r="H25" s="205"/>
      <c r="I25" s="205"/>
      <c r="J25" s="205"/>
      <c r="K25" s="205"/>
      <c r="L25" s="205"/>
      <c r="M25" s="205"/>
      <c r="N25" s="205"/>
    </row>
    <row r="26" ht="20.1" customHeight="1" spans="1:14">
      <c r="A26" s="214" t="s">
        <v>1050</v>
      </c>
      <c r="B26" s="205">
        <v>9841</v>
      </c>
      <c r="C26" s="205">
        <v>9841</v>
      </c>
      <c r="D26" s="205">
        <v>9846</v>
      </c>
      <c r="E26" s="205"/>
      <c r="F26" s="205"/>
      <c r="G26" s="205" t="s">
        <v>5</v>
      </c>
      <c r="H26" s="205"/>
      <c r="I26" s="205"/>
      <c r="J26" s="205"/>
      <c r="K26" s="205"/>
      <c r="L26" s="205"/>
      <c r="M26" s="205"/>
      <c r="N26" s="205"/>
    </row>
    <row r="27" ht="20.1" customHeight="1" spans="1:14">
      <c r="A27" s="214" t="s">
        <v>1051</v>
      </c>
      <c r="B27" s="205">
        <v>811</v>
      </c>
      <c r="C27" s="205">
        <v>1309</v>
      </c>
      <c r="D27" s="205">
        <v>998</v>
      </c>
      <c r="E27" s="205"/>
      <c r="F27" s="205"/>
      <c r="G27" s="205" t="s">
        <v>5</v>
      </c>
      <c r="H27" s="205"/>
      <c r="I27" s="205"/>
      <c r="J27" s="205"/>
      <c r="K27" s="205"/>
      <c r="L27" s="205"/>
      <c r="M27" s="205"/>
      <c r="N27" s="205"/>
    </row>
    <row r="28" ht="20.1" customHeight="1" spans="1:14">
      <c r="A28" s="214" t="s">
        <v>1052</v>
      </c>
      <c r="B28" s="205">
        <v>9163</v>
      </c>
      <c r="C28" s="205">
        <v>9477</v>
      </c>
      <c r="D28" s="205">
        <v>9438</v>
      </c>
      <c r="E28" s="205"/>
      <c r="F28" s="205"/>
      <c r="G28" s="205" t="s">
        <v>5</v>
      </c>
      <c r="H28" s="205"/>
      <c r="I28" s="205"/>
      <c r="J28" s="205"/>
      <c r="K28" s="205"/>
      <c r="L28" s="205"/>
      <c r="M28" s="205"/>
      <c r="N28" s="205"/>
    </row>
    <row r="29" ht="20.1" customHeight="1" spans="1:14">
      <c r="A29" s="214" t="s">
        <v>1053</v>
      </c>
      <c r="B29" s="205"/>
      <c r="C29" s="205">
        <v>0</v>
      </c>
      <c r="D29" s="205"/>
      <c r="E29" s="205"/>
      <c r="F29" s="205"/>
      <c r="G29" s="205" t="s">
        <v>5</v>
      </c>
      <c r="H29" s="205"/>
      <c r="I29" s="205"/>
      <c r="J29" s="205"/>
      <c r="K29" s="205"/>
      <c r="L29" s="205"/>
      <c r="M29" s="205"/>
      <c r="N29" s="205"/>
    </row>
    <row r="30" ht="20.1" customHeight="1" spans="1:14">
      <c r="A30" s="214" t="s">
        <v>1054</v>
      </c>
      <c r="B30" s="205">
        <v>9233</v>
      </c>
      <c r="C30" s="205">
        <v>19243</v>
      </c>
      <c r="D30" s="205">
        <v>12330</v>
      </c>
      <c r="E30" s="205"/>
      <c r="F30" s="205"/>
      <c r="G30" s="205" t="s">
        <v>5</v>
      </c>
      <c r="H30" s="205"/>
      <c r="I30" s="205"/>
      <c r="J30" s="205"/>
      <c r="K30" s="205"/>
      <c r="L30" s="205"/>
      <c r="M30" s="205"/>
      <c r="N30" s="205"/>
    </row>
    <row r="31" ht="33" customHeight="1" spans="1:14">
      <c r="A31" s="215" t="s">
        <v>1055</v>
      </c>
      <c r="B31" s="212"/>
      <c r="C31" s="212">
        <v>0</v>
      </c>
      <c r="D31" s="212"/>
      <c r="E31" s="216"/>
      <c r="F31" s="205"/>
      <c r="G31" s="205" t="s">
        <v>5</v>
      </c>
      <c r="H31" s="205"/>
      <c r="I31" s="205"/>
      <c r="J31" s="205"/>
      <c r="K31" s="205"/>
      <c r="L31" s="205"/>
      <c r="M31" s="212"/>
      <c r="N31" s="205"/>
    </row>
    <row r="32" ht="20.1" customHeight="1" spans="1:14">
      <c r="A32" s="215" t="s">
        <v>1056</v>
      </c>
      <c r="B32" s="212"/>
      <c r="C32" s="212">
        <v>0</v>
      </c>
      <c r="D32" s="212"/>
      <c r="E32" s="216"/>
      <c r="F32" s="205"/>
      <c r="G32" s="205" t="s">
        <v>5</v>
      </c>
      <c r="H32" s="205"/>
      <c r="I32" s="205"/>
      <c r="J32" s="205"/>
      <c r="K32" s="205"/>
      <c r="L32" s="205"/>
      <c r="M32" s="212"/>
      <c r="N32" s="205"/>
    </row>
    <row r="33" ht="20.1" customHeight="1" spans="1:14">
      <c r="A33" s="215" t="s">
        <v>1057</v>
      </c>
      <c r="B33" s="212"/>
      <c r="C33" s="212">
        <v>0</v>
      </c>
      <c r="D33" s="212"/>
      <c r="E33" s="216"/>
      <c r="F33" s="205"/>
      <c r="G33" s="205" t="s">
        <v>5</v>
      </c>
      <c r="H33" s="205"/>
      <c r="I33" s="205"/>
      <c r="J33" s="205"/>
      <c r="K33" s="205"/>
      <c r="L33" s="205"/>
      <c r="M33" s="212"/>
      <c r="N33" s="205"/>
    </row>
    <row r="34" ht="33" customHeight="1" spans="1:14">
      <c r="A34" s="215" t="s">
        <v>1058</v>
      </c>
      <c r="B34" s="212">
        <v>1591</v>
      </c>
      <c r="C34" s="212">
        <v>2231</v>
      </c>
      <c r="D34" s="212">
        <v>1459</v>
      </c>
      <c r="E34" s="216"/>
      <c r="F34" s="205"/>
      <c r="G34" s="205" t="s">
        <v>5</v>
      </c>
      <c r="H34" s="205"/>
      <c r="I34" s="205"/>
      <c r="J34" s="205"/>
      <c r="K34" s="205"/>
      <c r="L34" s="205"/>
      <c r="M34" s="212"/>
      <c r="N34" s="205"/>
    </row>
    <row r="35" ht="20.1" customHeight="1" spans="1:14">
      <c r="A35" s="215" t="s">
        <v>1059</v>
      </c>
      <c r="B35" s="212">
        <v>6349</v>
      </c>
      <c r="C35" s="212">
        <v>8356</v>
      </c>
      <c r="D35" s="212">
        <v>5132</v>
      </c>
      <c r="E35" s="216"/>
      <c r="F35" s="205"/>
      <c r="G35" s="208" t="s">
        <v>5</v>
      </c>
      <c r="H35" s="208"/>
      <c r="I35" s="208"/>
      <c r="J35" s="208"/>
      <c r="K35" s="208"/>
      <c r="L35" s="205"/>
      <c r="M35" s="212"/>
      <c r="N35" s="208"/>
    </row>
    <row r="36" ht="33" customHeight="1" spans="1:14">
      <c r="A36" s="215" t="s">
        <v>1060</v>
      </c>
      <c r="B36" s="212"/>
      <c r="C36" s="212">
        <v>0</v>
      </c>
      <c r="D36" s="212"/>
      <c r="E36" s="216"/>
      <c r="F36" s="205"/>
      <c r="G36" s="208" t="s">
        <v>5</v>
      </c>
      <c r="H36" s="208"/>
      <c r="I36" s="208"/>
      <c r="J36" s="208"/>
      <c r="K36" s="208"/>
      <c r="L36" s="205"/>
      <c r="M36" s="212"/>
      <c r="N36" s="208"/>
    </row>
    <row r="37" ht="33" customHeight="1" spans="1:14">
      <c r="A37" s="215" t="s">
        <v>1061</v>
      </c>
      <c r="B37" s="212">
        <v>436</v>
      </c>
      <c r="C37" s="212">
        <v>1100</v>
      </c>
      <c r="D37" s="212">
        <v>771</v>
      </c>
      <c r="E37" s="216"/>
      <c r="F37" s="205"/>
      <c r="G37" s="208" t="s">
        <v>5</v>
      </c>
      <c r="H37" s="208"/>
      <c r="I37" s="208"/>
      <c r="J37" s="208"/>
      <c r="K37" s="208"/>
      <c r="L37" s="205"/>
      <c r="M37" s="212"/>
      <c r="N37" s="208"/>
    </row>
    <row r="38" ht="33" customHeight="1" spans="1:14">
      <c r="A38" s="215" t="s">
        <v>1062</v>
      </c>
      <c r="B38" s="212">
        <v>9580</v>
      </c>
      <c r="C38" s="212">
        <v>11807</v>
      </c>
      <c r="D38" s="212">
        <v>12074</v>
      </c>
      <c r="E38" s="216"/>
      <c r="F38" s="205"/>
      <c r="G38" s="208" t="s">
        <v>5</v>
      </c>
      <c r="H38" s="208"/>
      <c r="I38" s="208"/>
      <c r="J38" s="208"/>
      <c r="K38" s="208"/>
      <c r="L38" s="205"/>
      <c r="M38" s="212"/>
      <c r="N38" s="208"/>
    </row>
    <row r="39" ht="33" customHeight="1" spans="1:14">
      <c r="A39" s="215" t="s">
        <v>1063</v>
      </c>
      <c r="B39" s="212">
        <v>10187</v>
      </c>
      <c r="C39" s="212">
        <v>11394</v>
      </c>
      <c r="D39" s="212">
        <v>3710</v>
      </c>
      <c r="E39" s="216"/>
      <c r="F39" s="205"/>
      <c r="G39" s="208" t="s">
        <v>5</v>
      </c>
      <c r="H39" s="208"/>
      <c r="I39" s="208"/>
      <c r="J39" s="208"/>
      <c r="K39" s="208"/>
      <c r="L39" s="205"/>
      <c r="M39" s="212"/>
      <c r="N39" s="208"/>
    </row>
    <row r="40" ht="33" customHeight="1" spans="1:14">
      <c r="A40" s="215" t="s">
        <v>1064</v>
      </c>
      <c r="B40" s="212">
        <v>2853</v>
      </c>
      <c r="C40" s="212">
        <v>2854</v>
      </c>
      <c r="D40" s="212">
        <v>2854</v>
      </c>
      <c r="E40" s="216"/>
      <c r="F40" s="205"/>
      <c r="G40" s="208" t="s">
        <v>5</v>
      </c>
      <c r="H40" s="208"/>
      <c r="I40" s="208"/>
      <c r="J40" s="208"/>
      <c r="K40" s="208"/>
      <c r="L40" s="205"/>
      <c r="M40" s="212"/>
      <c r="N40" s="208"/>
    </row>
    <row r="41" ht="33" customHeight="1" spans="1:14">
      <c r="A41" s="215" t="s">
        <v>1065</v>
      </c>
      <c r="B41" s="212"/>
      <c r="C41" s="212">
        <v>0</v>
      </c>
      <c r="D41" s="212"/>
      <c r="E41" s="216"/>
      <c r="F41" s="205"/>
      <c r="G41" s="208" t="s">
        <v>5</v>
      </c>
      <c r="H41" s="208"/>
      <c r="I41" s="208"/>
      <c r="J41" s="208"/>
      <c r="K41" s="208"/>
      <c r="L41" s="205"/>
      <c r="M41" s="212"/>
      <c r="N41" s="208"/>
    </row>
    <row r="42" ht="20.1" customHeight="1" spans="1:14">
      <c r="A42" s="215" t="s">
        <v>1066</v>
      </c>
      <c r="B42" s="212">
        <v>10436</v>
      </c>
      <c r="C42" s="212">
        <v>12050</v>
      </c>
      <c r="D42" s="212">
        <v>9612</v>
      </c>
      <c r="E42" s="216"/>
      <c r="F42" s="205"/>
      <c r="G42" s="208" t="s">
        <v>5</v>
      </c>
      <c r="H42" s="208"/>
      <c r="I42" s="208"/>
      <c r="J42" s="208"/>
      <c r="K42" s="208"/>
      <c r="L42" s="205"/>
      <c r="M42" s="212"/>
      <c r="N42" s="208"/>
    </row>
    <row r="43" ht="33" customHeight="1" spans="1:14">
      <c r="A43" s="215" t="s">
        <v>1067</v>
      </c>
      <c r="B43" s="212">
        <v>1225</v>
      </c>
      <c r="C43" s="212">
        <v>3396</v>
      </c>
      <c r="D43" s="212">
        <v>202</v>
      </c>
      <c r="E43" s="216"/>
      <c r="F43" s="205"/>
      <c r="G43" s="208" t="s">
        <v>5</v>
      </c>
      <c r="H43" s="208"/>
      <c r="I43" s="208"/>
      <c r="J43" s="208"/>
      <c r="K43" s="208"/>
      <c r="L43" s="205"/>
      <c r="M43" s="212"/>
      <c r="N43" s="208"/>
    </row>
    <row r="44" ht="33" customHeight="1" spans="1:14">
      <c r="A44" s="215" t="s">
        <v>1068</v>
      </c>
      <c r="B44" s="212"/>
      <c r="C44" s="212">
        <v>0</v>
      </c>
      <c r="D44" s="212"/>
      <c r="E44" s="216"/>
      <c r="F44" s="205"/>
      <c r="G44" s="208" t="s">
        <v>5</v>
      </c>
      <c r="H44" s="208"/>
      <c r="I44" s="208"/>
      <c r="J44" s="208"/>
      <c r="K44" s="208"/>
      <c r="L44" s="205"/>
      <c r="M44" s="212"/>
      <c r="N44" s="208"/>
    </row>
    <row r="45" ht="33" customHeight="1" spans="1:14">
      <c r="A45" s="215" t="s">
        <v>1069</v>
      </c>
      <c r="B45" s="212"/>
      <c r="C45" s="212">
        <v>0</v>
      </c>
      <c r="D45" s="212"/>
      <c r="E45" s="216"/>
      <c r="F45" s="205"/>
      <c r="G45" s="208" t="s">
        <v>5</v>
      </c>
      <c r="H45" s="208"/>
      <c r="I45" s="208"/>
      <c r="J45" s="208"/>
      <c r="K45" s="208"/>
      <c r="L45" s="205"/>
      <c r="M45" s="212"/>
      <c r="N45" s="208"/>
    </row>
    <row r="46" ht="20.1" customHeight="1" spans="1:14">
      <c r="A46" s="215" t="s">
        <v>1070</v>
      </c>
      <c r="B46" s="212"/>
      <c r="C46" s="212">
        <v>0</v>
      </c>
      <c r="D46" s="212"/>
      <c r="E46" s="216"/>
      <c r="F46" s="205"/>
      <c r="G46" s="208" t="s">
        <v>5</v>
      </c>
      <c r="H46" s="208"/>
      <c r="I46" s="208"/>
      <c r="J46" s="208"/>
      <c r="K46" s="208"/>
      <c r="L46" s="205"/>
      <c r="M46" s="212"/>
      <c r="N46" s="208"/>
    </row>
    <row r="47" ht="33" customHeight="1" spans="1:14">
      <c r="A47" s="215" t="s">
        <v>1071</v>
      </c>
      <c r="B47" s="212"/>
      <c r="C47" s="212">
        <v>0</v>
      </c>
      <c r="D47" s="212"/>
      <c r="E47" s="216"/>
      <c r="F47" s="205"/>
      <c r="G47" s="208" t="s">
        <v>5</v>
      </c>
      <c r="H47" s="208"/>
      <c r="I47" s="208"/>
      <c r="J47" s="208"/>
      <c r="K47" s="208"/>
      <c r="L47" s="205"/>
      <c r="M47" s="212"/>
      <c r="N47" s="208"/>
    </row>
    <row r="48" ht="33" customHeight="1" spans="1:14">
      <c r="A48" s="215" t="s">
        <v>1072</v>
      </c>
      <c r="B48" s="212">
        <v>393</v>
      </c>
      <c r="C48" s="212">
        <v>1232</v>
      </c>
      <c r="D48" s="212">
        <v>298</v>
      </c>
      <c r="E48" s="216"/>
      <c r="F48" s="205"/>
      <c r="G48" s="208" t="s">
        <v>5</v>
      </c>
      <c r="H48" s="208"/>
      <c r="I48" s="208"/>
      <c r="J48" s="208"/>
      <c r="K48" s="208"/>
      <c r="L48" s="205"/>
      <c r="M48" s="212"/>
      <c r="N48" s="208"/>
    </row>
    <row r="49" ht="33" customHeight="1" spans="1:14">
      <c r="A49" s="215" t="s">
        <v>1073</v>
      </c>
      <c r="B49" s="212"/>
      <c r="C49" s="212">
        <v>0</v>
      </c>
      <c r="D49" s="212"/>
      <c r="E49" s="216"/>
      <c r="F49" s="205"/>
      <c r="G49" s="205" t="s">
        <v>5</v>
      </c>
      <c r="H49" s="205"/>
      <c r="I49" s="205"/>
      <c r="J49" s="205"/>
      <c r="K49" s="205"/>
      <c r="L49" s="205"/>
      <c r="M49" s="212"/>
      <c r="N49" s="205"/>
    </row>
    <row r="50" ht="33" customHeight="1" spans="1:14">
      <c r="A50" s="215" t="s">
        <v>1074</v>
      </c>
      <c r="B50" s="212"/>
      <c r="C50" s="212">
        <v>215</v>
      </c>
      <c r="D50" s="212"/>
      <c r="E50" s="216"/>
      <c r="F50" s="205"/>
      <c r="G50" s="205"/>
      <c r="H50" s="205"/>
      <c r="I50" s="205"/>
      <c r="J50" s="205"/>
      <c r="K50" s="205"/>
      <c r="L50" s="205"/>
      <c r="M50" s="212"/>
      <c r="N50" s="205"/>
    </row>
    <row r="51" ht="20.1" customHeight="1" spans="1:14">
      <c r="A51" s="215" t="s">
        <v>1075</v>
      </c>
      <c r="B51" s="212"/>
      <c r="C51" s="212">
        <v>0</v>
      </c>
      <c r="D51" s="212"/>
      <c r="E51" s="216"/>
      <c r="F51" s="205"/>
      <c r="G51" s="205" t="s">
        <v>5</v>
      </c>
      <c r="H51" s="205"/>
      <c r="I51" s="205"/>
      <c r="J51" s="205"/>
      <c r="K51" s="205"/>
      <c r="L51" s="205"/>
      <c r="M51" s="212"/>
      <c r="N51" s="205"/>
    </row>
    <row r="52" ht="20.1" customHeight="1" spans="1:14">
      <c r="A52" s="214" t="s">
        <v>1076</v>
      </c>
      <c r="B52" s="205">
        <v>1326</v>
      </c>
      <c r="C52" s="205">
        <v>1061</v>
      </c>
      <c r="D52" s="205">
        <f>269</f>
        <v>269</v>
      </c>
      <c r="E52" s="205"/>
      <c r="F52" s="205"/>
      <c r="G52" s="205" t="s">
        <v>5</v>
      </c>
      <c r="H52" s="205"/>
      <c r="I52" s="205"/>
      <c r="J52" s="205"/>
      <c r="K52" s="205"/>
      <c r="L52" s="205"/>
      <c r="M52" s="205"/>
      <c r="N52" s="205"/>
    </row>
    <row r="53" ht="20.1" customHeight="1" spans="1:14">
      <c r="A53" s="214" t="s">
        <v>1077</v>
      </c>
      <c r="B53" s="209">
        <f>SUM(B54:B74)</f>
        <v>6495</v>
      </c>
      <c r="C53" s="209">
        <f t="shared" ref="C53:D53" si="8">SUM(C54:C74)</f>
        <v>26931</v>
      </c>
      <c r="D53" s="209">
        <f t="shared" si="8"/>
        <v>7240</v>
      </c>
      <c r="E53" s="205"/>
      <c r="F53" s="205"/>
      <c r="G53" s="205" t="s">
        <v>5</v>
      </c>
      <c r="H53" s="205"/>
      <c r="I53" s="205"/>
      <c r="J53" s="205"/>
      <c r="K53" s="205"/>
      <c r="L53" s="205"/>
      <c r="M53" s="209">
        <f>SUM(M54:M74)</f>
        <v>0</v>
      </c>
      <c r="N53" s="205"/>
    </row>
    <row r="54" ht="20.1" customHeight="1" spans="1:14">
      <c r="A54" s="214" t="s">
        <v>1078</v>
      </c>
      <c r="B54" s="205">
        <v>97</v>
      </c>
      <c r="C54" s="205">
        <v>788</v>
      </c>
      <c r="D54" s="205">
        <v>39</v>
      </c>
      <c r="E54" s="205"/>
      <c r="F54" s="205"/>
      <c r="G54" s="205" t="s">
        <v>5</v>
      </c>
      <c r="H54" s="205"/>
      <c r="I54" s="205"/>
      <c r="J54" s="205"/>
      <c r="K54" s="205"/>
      <c r="L54" s="205"/>
      <c r="M54" s="205"/>
      <c r="N54" s="205"/>
    </row>
    <row r="55" ht="20.1" customHeight="1" spans="1:14">
      <c r="A55" s="214" t="s">
        <v>1079</v>
      </c>
      <c r="B55" s="205"/>
      <c r="C55" s="205">
        <v>0</v>
      </c>
      <c r="D55" s="205"/>
      <c r="E55" s="205"/>
      <c r="F55" s="205"/>
      <c r="G55" s="205"/>
      <c r="H55" s="205"/>
      <c r="I55" s="205"/>
      <c r="J55" s="205"/>
      <c r="K55" s="205"/>
      <c r="L55" s="205"/>
      <c r="M55" s="205"/>
      <c r="N55" s="205"/>
    </row>
    <row r="56" ht="20.1" customHeight="1" spans="1:14">
      <c r="A56" s="214" t="s">
        <v>1080</v>
      </c>
      <c r="B56" s="205"/>
      <c r="C56" s="205">
        <v>0</v>
      </c>
      <c r="D56" s="205"/>
      <c r="E56" s="205"/>
      <c r="F56" s="205"/>
      <c r="G56" s="205"/>
      <c r="H56" s="205"/>
      <c r="I56" s="205"/>
      <c r="J56" s="205"/>
      <c r="K56" s="205"/>
      <c r="L56" s="205"/>
      <c r="M56" s="205"/>
      <c r="N56" s="205"/>
    </row>
    <row r="57" ht="20.1" customHeight="1" spans="1:14">
      <c r="A57" s="214" t="s">
        <v>1081</v>
      </c>
      <c r="B57" s="205"/>
      <c r="C57" s="205">
        <v>135</v>
      </c>
      <c r="D57" s="205"/>
      <c r="E57" s="205"/>
      <c r="F57" s="205"/>
      <c r="G57" s="205"/>
      <c r="H57" s="205"/>
      <c r="I57" s="205"/>
      <c r="J57" s="205"/>
      <c r="K57" s="208"/>
      <c r="L57" s="205"/>
      <c r="M57" s="205"/>
      <c r="N57" s="205"/>
    </row>
    <row r="58" ht="20.1" customHeight="1" spans="1:14">
      <c r="A58" s="214" t="s">
        <v>1082</v>
      </c>
      <c r="B58" s="205"/>
      <c r="C58" s="205">
        <v>3902</v>
      </c>
      <c r="D58" s="205"/>
      <c r="E58" s="205"/>
      <c r="F58" s="205"/>
      <c r="G58" s="205"/>
      <c r="H58" s="205"/>
      <c r="I58" s="205"/>
      <c r="J58" s="205"/>
      <c r="K58" s="208"/>
      <c r="L58" s="205"/>
      <c r="M58" s="205"/>
      <c r="N58" s="205"/>
    </row>
    <row r="59" ht="20.1" customHeight="1" spans="1:14">
      <c r="A59" s="214" t="s">
        <v>1083</v>
      </c>
      <c r="B59" s="205"/>
      <c r="C59" s="205">
        <v>210</v>
      </c>
      <c r="D59" s="205"/>
      <c r="E59" s="205"/>
      <c r="F59" s="205"/>
      <c r="G59" s="205"/>
      <c r="H59" s="205"/>
      <c r="I59" s="205"/>
      <c r="J59" s="205"/>
      <c r="K59" s="208"/>
      <c r="L59" s="205"/>
      <c r="M59" s="205"/>
      <c r="N59" s="205"/>
    </row>
    <row r="60" ht="20.1" customHeight="1" spans="1:14">
      <c r="A60" s="214" t="s">
        <v>1084</v>
      </c>
      <c r="B60" s="205"/>
      <c r="C60" s="205">
        <v>450</v>
      </c>
      <c r="D60" s="205">
        <v>1000</v>
      </c>
      <c r="E60" s="205"/>
      <c r="F60" s="205"/>
      <c r="G60" s="205"/>
      <c r="H60" s="205"/>
      <c r="I60" s="205"/>
      <c r="J60" s="205"/>
      <c r="K60" s="208"/>
      <c r="L60" s="205"/>
      <c r="M60" s="205"/>
      <c r="N60" s="205"/>
    </row>
    <row r="61" ht="19.5" customHeight="1" spans="1:14">
      <c r="A61" s="214" t="s">
        <v>1085</v>
      </c>
      <c r="B61" s="205">
        <v>114</v>
      </c>
      <c r="C61" s="205">
        <f>580</f>
        <v>580</v>
      </c>
      <c r="D61" s="205">
        <v>150</v>
      </c>
      <c r="E61" s="205"/>
      <c r="F61" s="205"/>
      <c r="G61" s="205"/>
      <c r="H61" s="205"/>
      <c r="I61" s="205"/>
      <c r="J61" s="205"/>
      <c r="K61" s="217"/>
      <c r="L61" s="217"/>
      <c r="M61" s="205"/>
      <c r="N61" s="205"/>
    </row>
    <row r="62" s="188" customFormat="1" ht="20.1" customHeight="1" spans="1:14">
      <c r="A62" s="214" t="s">
        <v>1086</v>
      </c>
      <c r="B62" s="205">
        <v>173</v>
      </c>
      <c r="C62" s="205">
        <v>2163</v>
      </c>
      <c r="D62" s="205">
        <v>270</v>
      </c>
      <c r="E62" s="217"/>
      <c r="F62" s="217"/>
      <c r="G62" s="205"/>
      <c r="H62" s="205"/>
      <c r="I62" s="205"/>
      <c r="J62" s="205"/>
      <c r="K62" s="217"/>
      <c r="L62" s="217"/>
      <c r="M62" s="205"/>
      <c r="N62" s="205"/>
    </row>
    <row r="63" ht="20.1" customHeight="1" spans="1:14">
      <c r="A63" s="214" t="s">
        <v>1087</v>
      </c>
      <c r="B63" s="205"/>
      <c r="C63" s="205">
        <f>238</f>
        <v>238</v>
      </c>
      <c r="D63" s="205"/>
      <c r="E63" s="205"/>
      <c r="F63" s="205"/>
      <c r="G63" s="205"/>
      <c r="H63" s="205"/>
      <c r="I63" s="205"/>
      <c r="J63" s="205"/>
      <c r="K63" s="205"/>
      <c r="L63" s="205"/>
      <c r="M63" s="205"/>
      <c r="N63" s="205"/>
    </row>
    <row r="64" ht="20.1" customHeight="1" spans="1:14">
      <c r="A64" s="214" t="s">
        <v>1088</v>
      </c>
      <c r="B64" s="205"/>
      <c r="C64" s="205">
        <v>2702</v>
      </c>
      <c r="D64" s="205"/>
      <c r="E64" s="205"/>
      <c r="F64" s="205"/>
      <c r="G64" s="205"/>
      <c r="H64" s="205"/>
      <c r="I64" s="205"/>
      <c r="J64" s="205"/>
      <c r="K64" s="205"/>
      <c r="L64" s="205"/>
      <c r="M64" s="205"/>
      <c r="N64" s="205"/>
    </row>
    <row r="65" ht="20.1" customHeight="1" spans="1:14">
      <c r="A65" s="214" t="s">
        <v>1089</v>
      </c>
      <c r="B65" s="205">
        <v>4371</v>
      </c>
      <c r="C65" s="205">
        <v>10888</v>
      </c>
      <c r="D65" s="205">
        <v>4860</v>
      </c>
      <c r="E65" s="205"/>
      <c r="F65" s="205"/>
      <c r="G65" s="205"/>
      <c r="H65" s="205"/>
      <c r="I65" s="205"/>
      <c r="J65" s="205"/>
      <c r="K65" s="205"/>
      <c r="L65" s="205"/>
      <c r="M65" s="205"/>
      <c r="N65" s="205"/>
    </row>
    <row r="66" ht="20.1" customHeight="1" spans="1:14">
      <c r="A66" s="214" t="s">
        <v>1090</v>
      </c>
      <c r="B66" s="205"/>
      <c r="C66" s="205">
        <v>598</v>
      </c>
      <c r="D66" s="205"/>
      <c r="E66" s="205"/>
      <c r="F66" s="205"/>
      <c r="G66" s="205"/>
      <c r="H66" s="205"/>
      <c r="I66" s="205"/>
      <c r="J66" s="205"/>
      <c r="K66" s="205"/>
      <c r="L66" s="205"/>
      <c r="M66" s="205"/>
      <c r="N66" s="205"/>
    </row>
    <row r="67" ht="20.1" customHeight="1" spans="1:14">
      <c r="A67" s="214" t="s">
        <v>1091</v>
      </c>
      <c r="B67" s="205"/>
      <c r="C67" s="205">
        <v>110</v>
      </c>
      <c r="D67" s="205"/>
      <c r="E67" s="205"/>
      <c r="F67" s="205"/>
      <c r="G67" s="205"/>
      <c r="H67" s="205"/>
      <c r="I67" s="205"/>
      <c r="J67" s="205"/>
      <c r="K67" s="205"/>
      <c r="L67" s="205"/>
      <c r="M67" s="205"/>
      <c r="N67" s="205"/>
    </row>
    <row r="68" ht="20.1" customHeight="1" spans="1:14">
      <c r="A68" s="214" t="s">
        <v>1092</v>
      </c>
      <c r="B68" s="205"/>
      <c r="C68" s="205">
        <v>253</v>
      </c>
      <c r="D68" s="205"/>
      <c r="E68" s="205"/>
      <c r="F68" s="205"/>
      <c r="G68" s="205"/>
      <c r="H68" s="205"/>
      <c r="I68" s="205"/>
      <c r="J68" s="205"/>
      <c r="K68" s="205"/>
      <c r="L68" s="205"/>
      <c r="M68" s="205"/>
      <c r="N68" s="205"/>
    </row>
    <row r="69" ht="20.1" customHeight="1" spans="1:14">
      <c r="A69" s="214" t="s">
        <v>1093</v>
      </c>
      <c r="B69" s="205"/>
      <c r="C69" s="205">
        <v>539</v>
      </c>
      <c r="D69" s="205">
        <v>655</v>
      </c>
      <c r="E69" s="205"/>
      <c r="F69" s="205"/>
      <c r="G69" s="205"/>
      <c r="H69" s="205"/>
      <c r="I69" s="205"/>
      <c r="J69" s="205"/>
      <c r="K69" s="205"/>
      <c r="L69" s="205"/>
      <c r="M69" s="205"/>
      <c r="N69" s="205"/>
    </row>
    <row r="70" ht="20.1" customHeight="1" spans="1:14">
      <c r="A70" s="214" t="s">
        <v>1094</v>
      </c>
      <c r="B70" s="205"/>
      <c r="C70" s="205">
        <v>469</v>
      </c>
      <c r="D70" s="205">
        <v>60</v>
      </c>
      <c r="E70" s="205"/>
      <c r="F70" s="205"/>
      <c r="G70" s="205"/>
      <c r="H70" s="205"/>
      <c r="I70" s="205"/>
      <c r="J70" s="205"/>
      <c r="K70" s="205"/>
      <c r="L70" s="205"/>
      <c r="M70" s="205"/>
      <c r="N70" s="205"/>
    </row>
    <row r="71" ht="20.1" customHeight="1" spans="1:14">
      <c r="A71" s="214" t="s">
        <v>1095</v>
      </c>
      <c r="B71" s="205"/>
      <c r="C71" s="205"/>
      <c r="D71" s="205"/>
      <c r="E71" s="205"/>
      <c r="F71" s="205"/>
      <c r="G71" s="205"/>
      <c r="H71" s="205"/>
      <c r="I71" s="205"/>
      <c r="J71" s="205"/>
      <c r="K71" s="205"/>
      <c r="L71" s="205"/>
      <c r="M71" s="205"/>
      <c r="N71" s="205"/>
    </row>
    <row r="72" ht="20.1" customHeight="1" spans="1:14">
      <c r="A72" s="214" t="s">
        <v>1096</v>
      </c>
      <c r="B72" s="205"/>
      <c r="C72" s="205">
        <v>0</v>
      </c>
      <c r="D72" s="205"/>
      <c r="E72" s="205"/>
      <c r="F72" s="205"/>
      <c r="G72" s="205"/>
      <c r="H72" s="205"/>
      <c r="I72" s="205"/>
      <c r="J72" s="205"/>
      <c r="K72" s="205"/>
      <c r="L72" s="205"/>
      <c r="M72" s="205"/>
      <c r="N72" s="205"/>
    </row>
    <row r="73" ht="20.1" customHeight="1" spans="1:14">
      <c r="A73" s="214" t="s">
        <v>1097</v>
      </c>
      <c r="B73" s="205">
        <v>1740</v>
      </c>
      <c r="C73" s="205">
        <v>2905</v>
      </c>
      <c r="D73" s="205">
        <v>206</v>
      </c>
      <c r="E73" s="205"/>
      <c r="F73" s="205"/>
      <c r="G73" s="221"/>
      <c r="H73" s="221"/>
      <c r="I73" s="221"/>
      <c r="J73" s="221"/>
      <c r="K73" s="205"/>
      <c r="L73" s="205"/>
      <c r="M73" s="205"/>
      <c r="N73" s="221"/>
    </row>
    <row r="74" ht="20.1" customHeight="1" spans="1:14">
      <c r="A74" s="222" t="s">
        <v>1098</v>
      </c>
      <c r="B74" s="205"/>
      <c r="C74" s="205">
        <v>1</v>
      </c>
      <c r="D74" s="205"/>
      <c r="E74" s="205"/>
      <c r="F74" s="205"/>
      <c r="G74" s="221"/>
      <c r="H74" s="221"/>
      <c r="I74" s="221"/>
      <c r="J74" s="221"/>
      <c r="K74" s="205"/>
      <c r="L74" s="205"/>
      <c r="M74" s="205"/>
      <c r="N74" s="221"/>
    </row>
    <row r="75" ht="20.1" customHeight="1" spans="1:14">
      <c r="A75" s="222"/>
      <c r="B75" s="205"/>
      <c r="C75" s="205"/>
      <c r="D75" s="205"/>
      <c r="E75" s="205"/>
      <c r="F75" s="223"/>
      <c r="G75" s="221"/>
      <c r="H75" s="224"/>
      <c r="I75" s="224"/>
      <c r="J75" s="224"/>
      <c r="K75" s="233"/>
      <c r="L75" s="205"/>
      <c r="M75" s="205"/>
      <c r="N75" s="224"/>
    </row>
    <row r="76" ht="20.1" customHeight="1" spans="1:14">
      <c r="A76" s="222"/>
      <c r="B76" s="205"/>
      <c r="C76" s="205"/>
      <c r="D76" s="205"/>
      <c r="E76" s="205"/>
      <c r="F76" s="223"/>
      <c r="G76" s="221"/>
      <c r="H76" s="224"/>
      <c r="I76" s="224"/>
      <c r="J76" s="224"/>
      <c r="K76" s="233"/>
      <c r="L76" s="205"/>
      <c r="M76" s="205"/>
      <c r="N76" s="224"/>
    </row>
    <row r="77" ht="20.1" customHeight="1" spans="1:14">
      <c r="A77" s="222"/>
      <c r="B77" s="205"/>
      <c r="C77" s="205"/>
      <c r="D77" s="205"/>
      <c r="E77" s="205"/>
      <c r="F77" s="223"/>
      <c r="G77" s="221"/>
      <c r="H77" s="224"/>
      <c r="I77" s="224"/>
      <c r="J77" s="224"/>
      <c r="K77" s="233"/>
      <c r="L77" s="205"/>
      <c r="M77" s="205"/>
      <c r="N77" s="224"/>
    </row>
    <row r="78" ht="20.1" customHeight="1" spans="1:14">
      <c r="A78" s="222" t="s">
        <v>1099</v>
      </c>
      <c r="B78" s="209">
        <f>SUM(B79:B80)</f>
        <v>0</v>
      </c>
      <c r="C78" s="209">
        <f t="shared" ref="C78:D78" si="9">SUM(C79:C80)</f>
        <v>0</v>
      </c>
      <c r="D78" s="209">
        <f t="shared" si="9"/>
        <v>0</v>
      </c>
      <c r="E78" s="205"/>
      <c r="F78" s="223"/>
      <c r="G78" s="221"/>
      <c r="H78" s="224"/>
      <c r="I78" s="224"/>
      <c r="J78" s="224"/>
      <c r="K78" s="233"/>
      <c r="L78" s="205"/>
      <c r="M78" s="209">
        <f>SUM(M79:M80)</f>
        <v>0</v>
      </c>
      <c r="N78" s="224"/>
    </row>
    <row r="79" ht="20.1" customHeight="1" spans="1:14">
      <c r="A79" s="222" t="s">
        <v>1100</v>
      </c>
      <c r="B79" s="205"/>
      <c r="C79" s="205"/>
      <c r="D79" s="205"/>
      <c r="E79" s="205"/>
      <c r="F79" s="223"/>
      <c r="G79" s="221"/>
      <c r="H79" s="224"/>
      <c r="I79" s="224"/>
      <c r="J79" s="224"/>
      <c r="K79" s="233"/>
      <c r="L79" s="205"/>
      <c r="M79" s="205"/>
      <c r="N79" s="224"/>
    </row>
    <row r="80" ht="20.1" customHeight="1" spans="1:14">
      <c r="A80" s="222" t="s">
        <v>1101</v>
      </c>
      <c r="B80" s="205"/>
      <c r="C80" s="205"/>
      <c r="D80" s="205"/>
      <c r="E80" s="205"/>
      <c r="F80" s="223"/>
      <c r="G80" s="221"/>
      <c r="H80" s="224"/>
      <c r="I80" s="224"/>
      <c r="J80" s="224"/>
      <c r="K80" s="233"/>
      <c r="L80" s="205"/>
      <c r="M80" s="205"/>
      <c r="N80" s="224"/>
    </row>
    <row r="81" ht="20.1" customHeight="1" spans="1:14">
      <c r="A81" s="222" t="s">
        <v>1102</v>
      </c>
      <c r="B81" s="205"/>
      <c r="C81" s="205"/>
      <c r="D81" s="205"/>
      <c r="E81" s="205"/>
      <c r="F81" s="223"/>
      <c r="G81" s="221"/>
      <c r="H81" s="224"/>
      <c r="I81" s="224"/>
      <c r="J81" s="224"/>
      <c r="K81" s="233"/>
      <c r="L81" s="205"/>
      <c r="M81" s="205"/>
      <c r="N81" s="224"/>
    </row>
    <row r="82" ht="20.1" customHeight="1" spans="1:14">
      <c r="A82" s="81" t="s">
        <v>1103</v>
      </c>
      <c r="B82" s="205">
        <v>4580</v>
      </c>
      <c r="C82" s="205">
        <v>4580</v>
      </c>
      <c r="D82" s="205">
        <v>25061</v>
      </c>
      <c r="E82" s="205"/>
      <c r="F82" s="223"/>
      <c r="G82" s="221"/>
      <c r="H82" s="224"/>
      <c r="I82" s="224"/>
      <c r="J82" s="224"/>
      <c r="K82" s="233"/>
      <c r="L82" s="205"/>
      <c r="M82" s="205"/>
      <c r="N82" s="224"/>
    </row>
    <row r="83" ht="20.1" customHeight="1" spans="1:14">
      <c r="A83" s="81" t="s">
        <v>1104</v>
      </c>
      <c r="B83" s="209">
        <f>SUM(B84,B86,B87)</f>
        <v>5000</v>
      </c>
      <c r="C83" s="209">
        <f t="shared" ref="C83:D83" si="10">SUM(C84,C86,C87)</f>
        <v>4380</v>
      </c>
      <c r="D83" s="209">
        <f t="shared" si="10"/>
        <v>5000</v>
      </c>
      <c r="E83" s="205"/>
      <c r="F83" s="223"/>
      <c r="G83" s="221"/>
      <c r="H83" s="224"/>
      <c r="I83" s="224"/>
      <c r="J83" s="224"/>
      <c r="K83" s="233"/>
      <c r="L83" s="205"/>
      <c r="M83" s="209">
        <f>SUM(M84,M86,M87)</f>
        <v>0</v>
      </c>
      <c r="N83" s="224"/>
    </row>
    <row r="84" ht="20.1" customHeight="1" spans="1:14">
      <c r="A84" s="81" t="s">
        <v>1105</v>
      </c>
      <c r="B84" s="205">
        <v>5000</v>
      </c>
      <c r="C84" s="205">
        <v>4000</v>
      </c>
      <c r="D84" s="205">
        <v>5000</v>
      </c>
      <c r="E84" s="225"/>
      <c r="F84" s="205"/>
      <c r="G84" s="221" t="s">
        <v>1106</v>
      </c>
      <c r="H84" s="221"/>
      <c r="I84" s="221"/>
      <c r="J84" s="221"/>
      <c r="K84" s="225"/>
      <c r="L84" s="205"/>
      <c r="M84" s="205"/>
      <c r="N84" s="221"/>
    </row>
    <row r="85" ht="20.1" customHeight="1" spans="1:14">
      <c r="A85" s="222" t="s">
        <v>1107</v>
      </c>
      <c r="B85" s="205"/>
      <c r="C85" s="205"/>
      <c r="D85" s="205"/>
      <c r="E85" s="205"/>
      <c r="F85" s="205"/>
      <c r="G85" s="208" t="s">
        <v>1108</v>
      </c>
      <c r="H85" s="205"/>
      <c r="I85" s="205"/>
      <c r="J85" s="205"/>
      <c r="K85" s="205"/>
      <c r="L85" s="205"/>
      <c r="M85" s="205"/>
      <c r="N85" s="205"/>
    </row>
    <row r="86" ht="20.1" customHeight="1" spans="1:14">
      <c r="A86" s="81" t="s">
        <v>1109</v>
      </c>
      <c r="B86" s="205"/>
      <c r="C86" s="205"/>
      <c r="D86" s="205"/>
      <c r="E86" s="205"/>
      <c r="F86" s="205"/>
      <c r="G86" s="213" t="s">
        <v>1110</v>
      </c>
      <c r="H86" s="208"/>
      <c r="I86" s="208">
        <v>3638</v>
      </c>
      <c r="J86" s="208"/>
      <c r="K86" s="205"/>
      <c r="L86" s="205"/>
      <c r="M86" s="205"/>
      <c r="N86" s="208"/>
    </row>
    <row r="87" ht="20.1" customHeight="1" spans="1:14">
      <c r="A87" s="81" t="s">
        <v>1111</v>
      </c>
      <c r="B87" s="205"/>
      <c r="C87" s="205">
        <v>380</v>
      </c>
      <c r="D87" s="205"/>
      <c r="E87" s="205"/>
      <c r="F87" s="205"/>
      <c r="G87" s="213" t="s">
        <v>1112</v>
      </c>
      <c r="H87" s="213"/>
      <c r="I87" s="213"/>
      <c r="J87" s="213"/>
      <c r="K87" s="205"/>
      <c r="L87" s="205"/>
      <c r="M87" s="205"/>
      <c r="N87" s="213"/>
    </row>
    <row r="88" ht="20.1" customHeight="1" spans="1:14">
      <c r="A88" s="81" t="s">
        <v>1113</v>
      </c>
      <c r="B88" s="205"/>
      <c r="C88" s="205"/>
      <c r="D88" s="205"/>
      <c r="E88" s="205"/>
      <c r="F88" s="205"/>
      <c r="G88" s="205" t="s">
        <v>1114</v>
      </c>
      <c r="H88" s="213">
        <v>4753</v>
      </c>
      <c r="I88" s="213">
        <v>4736</v>
      </c>
      <c r="J88" s="213">
        <v>12178</v>
      </c>
      <c r="K88" s="205"/>
      <c r="L88" s="205"/>
      <c r="M88" s="205"/>
      <c r="N88" s="213"/>
    </row>
    <row r="89" ht="20.1" customHeight="1" spans="1:14">
      <c r="A89" s="81" t="s">
        <v>1115</v>
      </c>
      <c r="B89" s="205">
        <v>4500</v>
      </c>
      <c r="C89" s="205">
        <v>18873</v>
      </c>
      <c r="D89" s="205">
        <v>11500</v>
      </c>
      <c r="E89" s="205"/>
      <c r="F89" s="205"/>
      <c r="G89" s="205" t="s">
        <v>1116</v>
      </c>
      <c r="H89" s="205"/>
      <c r="I89" s="205"/>
      <c r="J89" s="205"/>
      <c r="K89" s="205"/>
      <c r="L89" s="205"/>
      <c r="M89" s="205"/>
      <c r="N89" s="205"/>
    </row>
    <row r="90" ht="20.1" customHeight="1" spans="1:14">
      <c r="A90" s="81" t="s">
        <v>1117</v>
      </c>
      <c r="B90" s="205"/>
      <c r="C90" s="205"/>
      <c r="D90" s="205"/>
      <c r="E90" s="205"/>
      <c r="F90" s="205"/>
      <c r="G90" s="205" t="s">
        <v>1118</v>
      </c>
      <c r="H90" s="205"/>
      <c r="I90" s="205"/>
      <c r="J90" s="205"/>
      <c r="K90" s="205"/>
      <c r="L90" s="205"/>
      <c r="M90" s="205"/>
      <c r="N90" s="205"/>
    </row>
    <row r="91" ht="20.1" customHeight="1" spans="1:14">
      <c r="A91" s="81" t="s">
        <v>1119</v>
      </c>
      <c r="B91" s="205">
        <v>5002</v>
      </c>
      <c r="C91" s="205">
        <v>5002</v>
      </c>
      <c r="D91" s="205">
        <v>3638</v>
      </c>
      <c r="E91" s="205"/>
      <c r="F91" s="205"/>
      <c r="G91" s="205" t="s">
        <v>1120</v>
      </c>
      <c r="H91" s="205"/>
      <c r="I91" s="205"/>
      <c r="J91" s="205"/>
      <c r="K91" s="205"/>
      <c r="L91" s="205"/>
      <c r="M91" s="205"/>
      <c r="N91" s="205"/>
    </row>
    <row r="92" ht="20.1" customHeight="1" spans="1:14">
      <c r="A92" s="222" t="s">
        <v>1121</v>
      </c>
      <c r="B92" s="205"/>
      <c r="C92" s="205"/>
      <c r="D92" s="205"/>
      <c r="E92" s="205"/>
      <c r="F92" s="205"/>
      <c r="G92" s="205" t="s">
        <v>1122</v>
      </c>
      <c r="H92" s="205"/>
      <c r="I92" s="205"/>
      <c r="J92" s="205"/>
      <c r="K92" s="205"/>
      <c r="L92" s="205"/>
      <c r="M92" s="205"/>
      <c r="N92" s="205"/>
    </row>
    <row r="93" ht="19.2" customHeight="1" spans="1:14">
      <c r="A93" s="222" t="s">
        <v>1123</v>
      </c>
      <c r="B93" s="205"/>
      <c r="C93" s="205"/>
      <c r="D93" s="205"/>
      <c r="E93" s="205"/>
      <c r="F93" s="205"/>
      <c r="G93" s="208" t="s">
        <v>1124</v>
      </c>
      <c r="H93" s="208"/>
      <c r="I93" s="208">
        <v>25061</v>
      </c>
      <c r="J93" s="208"/>
      <c r="K93" s="205"/>
      <c r="L93" s="205"/>
      <c r="M93" s="205"/>
      <c r="N93" s="208"/>
    </row>
    <row r="94" ht="18" customHeight="1" spans="1:14">
      <c r="A94" s="81"/>
      <c r="B94" s="205"/>
      <c r="C94" s="205"/>
      <c r="D94" s="205"/>
      <c r="E94" s="205"/>
      <c r="F94" s="205"/>
      <c r="G94" s="205"/>
      <c r="H94" s="205"/>
      <c r="I94" s="205"/>
      <c r="J94" s="205"/>
      <c r="K94" s="205"/>
      <c r="L94" s="205"/>
      <c r="M94" s="205"/>
      <c r="N94" s="205"/>
    </row>
    <row r="95" ht="18" customHeight="1" spans="1:14">
      <c r="A95" s="81"/>
      <c r="B95" s="205"/>
      <c r="C95" s="205"/>
      <c r="D95" s="205"/>
      <c r="E95" s="205"/>
      <c r="F95" s="205"/>
      <c r="G95" s="205"/>
      <c r="H95" s="205"/>
      <c r="I95" s="205"/>
      <c r="J95" s="205"/>
      <c r="K95" s="205"/>
      <c r="L95" s="205"/>
      <c r="M95" s="205"/>
      <c r="N95" s="205"/>
    </row>
    <row r="96" ht="18" customHeight="1" spans="1:14">
      <c r="A96" s="81"/>
      <c r="B96" s="205"/>
      <c r="C96" s="205"/>
      <c r="D96" s="205"/>
      <c r="E96" s="205"/>
      <c r="F96" s="205"/>
      <c r="G96" s="205" t="s">
        <v>5</v>
      </c>
      <c r="H96" s="205"/>
      <c r="I96" s="205"/>
      <c r="J96" s="205"/>
      <c r="K96" s="205"/>
      <c r="L96" s="205"/>
      <c r="M96" s="205"/>
      <c r="N96" s="205"/>
    </row>
    <row r="97" ht="18" customHeight="1" spans="1:14">
      <c r="A97" s="81"/>
      <c r="B97" s="205"/>
      <c r="C97" s="205"/>
      <c r="D97" s="205"/>
      <c r="E97" s="205"/>
      <c r="F97" s="205"/>
      <c r="G97" s="205"/>
      <c r="H97" s="205"/>
      <c r="I97" s="205"/>
      <c r="J97" s="205"/>
      <c r="K97" s="205"/>
      <c r="L97" s="205"/>
      <c r="M97" s="205"/>
      <c r="N97" s="205"/>
    </row>
    <row r="98" ht="18" customHeight="1" spans="1:14">
      <c r="A98" s="81"/>
      <c r="B98" s="205"/>
      <c r="C98" s="205"/>
      <c r="D98" s="205"/>
      <c r="E98" s="205"/>
      <c r="F98" s="205"/>
      <c r="G98" s="205"/>
      <c r="H98" s="205"/>
      <c r="I98" s="205"/>
      <c r="J98" s="205"/>
      <c r="K98" s="205"/>
      <c r="L98" s="205"/>
      <c r="M98" s="205"/>
      <c r="N98" s="205"/>
    </row>
    <row r="99" ht="18" customHeight="1" spans="1:14">
      <c r="A99" s="226" t="s">
        <v>1125</v>
      </c>
      <c r="B99" s="227">
        <f>SUM(B7,B8)</f>
        <v>175530</v>
      </c>
      <c r="C99" s="227">
        <f t="shared" ref="C99:D99" si="11">SUM(C7,C8)</f>
        <v>236935</v>
      </c>
      <c r="D99" s="227">
        <f t="shared" si="11"/>
        <v>201694</v>
      </c>
      <c r="E99" s="205"/>
      <c r="F99" s="205"/>
      <c r="G99" s="228" t="s">
        <v>1126</v>
      </c>
      <c r="H99" s="227">
        <f>SUM(H7,H8)</f>
        <v>175530</v>
      </c>
      <c r="I99" s="227">
        <f t="shared" ref="I99:J99" si="12">SUM(I7,I8)</f>
        <v>236935</v>
      </c>
      <c r="J99" s="227">
        <f t="shared" si="12"/>
        <v>201694</v>
      </c>
      <c r="K99" s="205"/>
      <c r="L99" s="205"/>
      <c r="M99" s="227">
        <f>SUM(M7,M8)</f>
        <v>0</v>
      </c>
      <c r="N99" s="227">
        <f>SUM(N7,N8)</f>
        <v>0</v>
      </c>
    </row>
    <row r="100" ht="40.8" customHeight="1" spans="1:7">
      <c r="A100" s="229" t="s">
        <v>1127</v>
      </c>
      <c r="B100" s="229" t="str">
        <f>IF(B99-H99=0,"正确","错误，请检查")</f>
        <v>正确</v>
      </c>
      <c r="C100" s="229" t="str">
        <f>IF(C99-I99=0,"正确","错误，请检查")</f>
        <v>正确</v>
      </c>
      <c r="D100" s="229" t="str">
        <f t="shared" ref="D100" si="13">IF(D99-J99=0,"正确","错误，请检查")</f>
        <v>正确</v>
      </c>
      <c r="E100" s="230"/>
      <c r="F100" s="230"/>
      <c r="G100" s="231"/>
    </row>
    <row r="101" ht="40.8" customHeight="1" spans="1:7">
      <c r="A101" s="232" t="s">
        <v>1128</v>
      </c>
      <c r="B101" s="229" t="str">
        <f>IF(B84-表八!H255=0,"正确","错误，请检查")</f>
        <v>正确</v>
      </c>
      <c r="C101" s="229" t="str">
        <f>IF(C84-表八!I255=0,"正确","错误，请检查")</f>
        <v>正确</v>
      </c>
      <c r="D101" s="229" t="str">
        <f>IF(D84-表八!J255=0,"正确","错误，请检查")</f>
        <v>正确</v>
      </c>
      <c r="E101" s="229" t="str">
        <f>IF(C86-表十一!K17=0,"正确","错误，请检查")</f>
        <v>正确</v>
      </c>
      <c r="F101" s="229" t="str">
        <f>IF(D86-表十一!N17=0,"正确","错误，请检查")</f>
        <v>正确</v>
      </c>
      <c r="G101" s="231"/>
    </row>
    <row r="102" ht="40.8" customHeight="1" spans="1:7">
      <c r="A102" s="232" t="s">
        <v>1129</v>
      </c>
      <c r="B102" s="229" t="str">
        <f>IF(D82-I93=0,"正确","错误，请检查")</f>
        <v>正确</v>
      </c>
      <c r="C102" s="230"/>
      <c r="D102" s="230"/>
      <c r="E102" s="230"/>
      <c r="F102" s="230"/>
      <c r="G102" s="231"/>
    </row>
    <row r="103" spans="7:7">
      <c r="G103" s="231"/>
    </row>
    <row r="104" spans="7:7">
      <c r="G104" s="231"/>
    </row>
    <row r="105" spans="7:7">
      <c r="G105" s="231"/>
    </row>
    <row r="106" spans="7:7">
      <c r="G106" s="231"/>
    </row>
    <row r="107" spans="7:7">
      <c r="G107" s="231"/>
    </row>
    <row r="108" spans="7:7">
      <c r="G108" s="231"/>
    </row>
    <row r="109" spans="7:7">
      <c r="G109" s="231"/>
    </row>
    <row r="110" spans="7:7">
      <c r="G110" s="231"/>
    </row>
    <row r="111" spans="7:7">
      <c r="G111" s="231"/>
    </row>
    <row r="112" spans="7:7">
      <c r="G112" s="231"/>
    </row>
    <row r="113" spans="7:7">
      <c r="G113" s="231"/>
    </row>
    <row r="114" spans="7:7">
      <c r="G114" s="231"/>
    </row>
    <row r="115" spans="7:7">
      <c r="G115" s="231"/>
    </row>
    <row r="116" spans="7:7">
      <c r="G116" s="231"/>
    </row>
    <row r="117" spans="7:7">
      <c r="G117" s="231"/>
    </row>
    <row r="118" spans="7:7">
      <c r="G118" s="231"/>
    </row>
  </sheetData>
  <protectedRanges>
    <protectedRange password="CC35" sqref="E31:E51" name="区域1"/>
  </protectedRanges>
  <mergeCells count="11">
    <mergeCell ref="A2:L2"/>
    <mergeCell ref="A4:F4"/>
    <mergeCell ref="G4:L4"/>
    <mergeCell ref="D5:F5"/>
    <mergeCell ref="J5:L5"/>
    <mergeCell ref="M6:N6"/>
    <mergeCell ref="A5:A6"/>
    <mergeCell ref="B5:B6"/>
    <mergeCell ref="C5:C6"/>
    <mergeCell ref="H5:H6"/>
    <mergeCell ref="I5:I6"/>
  </mergeCells>
  <conditionalFormatting sqref="B100:F102">
    <cfRule type="containsText" dxfId="0" priority="1" operator="between" text="错误">
      <formula>NOT(ISERROR(SEARCH("错误",B100)))</formula>
    </cfRule>
  </conditionalFormatting>
  <printOptions horizontalCentered="1"/>
  <pageMargins left="0.393700787401575" right="0.393700787401575" top="0.590551181102362" bottom="0.62992125984252" header="0.393700787401575" footer="0.393700787401575"/>
  <pageSetup paperSize="9" scale="80" firstPageNumber="44" fitToHeight="0" orientation="landscape" useFirstPageNumber="1"/>
  <headerFooter differentOddEven="1">
    <oddFooter>&amp;L&amp;16—&amp;P—</oddFooter>
    <evenFooter>&amp;R&amp;16—&amp;P—</evenFooter>
  </headerFooter>
  <ignoredErrors>
    <ignoredError sqref="B7:F7 E10:F11 E9:F9 E8:F8 B10:D10 B53:D53 B17:D17 B8:D9 C99:D99 B92:D98 B90:D90 B88:D88 D87 B87 B85:D86 B83:D83 B78:D81 C75:D77 D74 D71:D72 H7:J9 H99:J99"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7"/>
  <sheetViews>
    <sheetView showGridLines="0" showZeros="0" zoomScale="80" zoomScaleNormal="80" topLeftCell="B1" workbookViewId="0">
      <pane ySplit="5" topLeftCell="A197" activePane="bottomLeft" state="frozen"/>
      <selection/>
      <selection pane="bottomLeft" activeCell="G9" sqref="G9"/>
    </sheetView>
  </sheetViews>
  <sheetFormatPr defaultColWidth="9" defaultRowHeight="13.5"/>
  <cols>
    <col min="1" max="1" width="9.3" style="34"/>
    <col min="2" max="2" width="40.2" style="34" customWidth="1"/>
    <col min="3" max="3" width="19.5" style="35" customWidth="1"/>
    <col min="4" max="9" width="14" style="35" customWidth="1"/>
    <col min="10" max="10" width="11.4" style="157" customWidth="1"/>
    <col min="11" max="11" width="10.7" style="34" customWidth="1"/>
    <col min="12" max="16384" width="9" style="34"/>
  </cols>
  <sheetData>
    <row r="1" s="34" customFormat="1" ht="14.25" spans="1:10">
      <c r="A1" s="36" t="s">
        <v>1130</v>
      </c>
      <c r="C1" s="35"/>
      <c r="D1" s="35"/>
      <c r="E1" s="35"/>
      <c r="F1" s="35"/>
      <c r="G1" s="35"/>
      <c r="H1" s="35"/>
      <c r="I1" s="35"/>
      <c r="J1" s="157"/>
    </row>
    <row r="2" s="32" customFormat="1" ht="22.5" spans="1:10">
      <c r="A2" s="26" t="s">
        <v>1131</v>
      </c>
      <c r="B2" s="26"/>
      <c r="C2" s="37"/>
      <c r="D2" s="37"/>
      <c r="E2" s="37"/>
      <c r="F2" s="37"/>
      <c r="G2" s="37"/>
      <c r="H2" s="37"/>
      <c r="I2" s="37"/>
      <c r="J2" s="165"/>
    </row>
    <row r="3" s="34" customFormat="1" ht="18" customHeight="1" spans="3:10">
      <c r="C3" s="35"/>
      <c r="D3" s="35"/>
      <c r="E3" s="35"/>
      <c r="F3" s="35"/>
      <c r="G3" s="35"/>
      <c r="H3" s="35"/>
      <c r="I3" s="38" t="s">
        <v>26</v>
      </c>
      <c r="J3" s="157"/>
    </row>
    <row r="4" s="33" customFormat="1" ht="25.95" customHeight="1" spans="1:10">
      <c r="A4" s="72" t="s">
        <v>27</v>
      </c>
      <c r="B4" s="72"/>
      <c r="C4" s="66" t="s">
        <v>1132</v>
      </c>
      <c r="D4" s="66" t="s">
        <v>1133</v>
      </c>
      <c r="E4" s="66" t="s">
        <v>1134</v>
      </c>
      <c r="F4" s="66" t="s">
        <v>1135</v>
      </c>
      <c r="G4" s="66" t="s">
        <v>1136</v>
      </c>
      <c r="H4" s="66" t="s">
        <v>1137</v>
      </c>
      <c r="I4" s="66" t="s">
        <v>1138</v>
      </c>
      <c r="J4" s="166"/>
    </row>
    <row r="5" s="33" customFormat="1" ht="22.95" customHeight="1" spans="1:11">
      <c r="A5" s="72" t="s">
        <v>32</v>
      </c>
      <c r="B5" s="72" t="s">
        <v>33</v>
      </c>
      <c r="C5" s="66"/>
      <c r="D5" s="66"/>
      <c r="E5" s="158"/>
      <c r="F5" s="66"/>
      <c r="G5" s="66"/>
      <c r="H5" s="66"/>
      <c r="I5" s="66"/>
      <c r="J5" s="167" t="s">
        <v>31</v>
      </c>
      <c r="K5" s="55" t="s">
        <v>1139</v>
      </c>
    </row>
    <row r="6" s="34" customFormat="1" ht="20.1" customHeight="1" spans="1:11">
      <c r="A6" s="50">
        <v>201</v>
      </c>
      <c r="B6" s="52" t="s">
        <v>66</v>
      </c>
      <c r="C6" s="159">
        <f t="shared" ref="C6:C69" si="0">SUM(D6:I6)</f>
        <v>25117</v>
      </c>
      <c r="D6" s="160">
        <f t="shared" ref="D6:J6" si="1">SUM(D7:D32)</f>
        <v>23640</v>
      </c>
      <c r="E6" s="160">
        <f t="shared" si="1"/>
        <v>39</v>
      </c>
      <c r="F6" s="160">
        <f t="shared" si="1"/>
        <v>88</v>
      </c>
      <c r="G6" s="160">
        <f t="shared" si="1"/>
        <v>1350</v>
      </c>
      <c r="H6" s="160">
        <f t="shared" si="1"/>
        <v>0</v>
      </c>
      <c r="I6" s="160">
        <f t="shared" si="1"/>
        <v>0</v>
      </c>
      <c r="J6" s="160">
        <f t="shared" si="1"/>
        <v>0</v>
      </c>
      <c r="K6" s="56" t="str">
        <f>IF(C6-[1]表二!E6=0,"正确","错误，请检查")</f>
        <v>正确</v>
      </c>
    </row>
    <row r="7" s="34" customFormat="1" ht="20.1" customHeight="1" spans="1:11">
      <c r="A7" s="161">
        <v>20101</v>
      </c>
      <c r="B7" s="161" t="s">
        <v>67</v>
      </c>
      <c r="C7" s="159">
        <f t="shared" si="0"/>
        <v>799</v>
      </c>
      <c r="D7" s="162">
        <v>798</v>
      </c>
      <c r="E7" s="162"/>
      <c r="F7" s="162">
        <v>1</v>
      </c>
      <c r="G7" s="162"/>
      <c r="H7" s="162"/>
      <c r="I7" s="162"/>
      <c r="J7" s="162"/>
      <c r="K7" s="56" t="str">
        <f>IF(C7-[1]表二!E7=0,"正确","错误，请检查")</f>
        <v>正确</v>
      </c>
    </row>
    <row r="8" s="34" customFormat="1" ht="20.1" customHeight="1" spans="1:11">
      <c r="A8" s="161">
        <v>20102</v>
      </c>
      <c r="B8" s="161" t="s">
        <v>79</v>
      </c>
      <c r="C8" s="159">
        <f t="shared" si="0"/>
        <v>399</v>
      </c>
      <c r="D8" s="162">
        <v>395</v>
      </c>
      <c r="E8" s="162"/>
      <c r="F8" s="162">
        <v>4</v>
      </c>
      <c r="G8" s="162"/>
      <c r="H8" s="162"/>
      <c r="I8" s="162"/>
      <c r="J8" s="162"/>
      <c r="K8" s="56" t="str">
        <f>IF(C8-[1]表二!E19=0,"正确","错误，请检查")</f>
        <v>正确</v>
      </c>
    </row>
    <row r="9" s="34" customFormat="1" ht="20.1" customHeight="1" spans="1:11">
      <c r="A9" s="161">
        <v>20103</v>
      </c>
      <c r="B9" s="161" t="s">
        <v>84</v>
      </c>
      <c r="C9" s="159">
        <f t="shared" si="0"/>
        <v>12735</v>
      </c>
      <c r="D9" s="162">
        <v>11385</v>
      </c>
      <c r="E9" s="162"/>
      <c r="F9" s="162"/>
      <c r="G9" s="162">
        <v>1350</v>
      </c>
      <c r="H9" s="162"/>
      <c r="I9" s="162"/>
      <c r="J9" s="162"/>
      <c r="K9" s="56" t="str">
        <f>IF(C9-[1]表二!E28=0,"正确","错误，请检查")</f>
        <v>正确</v>
      </c>
    </row>
    <row r="10" s="34" customFormat="1" ht="20.1" customHeight="1" spans="1:11">
      <c r="A10" s="161">
        <v>20104</v>
      </c>
      <c r="B10" s="161" t="s">
        <v>91</v>
      </c>
      <c r="C10" s="159">
        <f t="shared" si="0"/>
        <v>636</v>
      </c>
      <c r="D10" s="162">
        <v>636</v>
      </c>
      <c r="E10" s="162"/>
      <c r="F10" s="162"/>
      <c r="G10" s="162"/>
      <c r="H10" s="162"/>
      <c r="I10" s="162"/>
      <c r="J10" s="162"/>
      <c r="K10" s="56" t="str">
        <f>IF(C10-[1]表二!E39=0,"正确","错误，请检查")</f>
        <v>正确</v>
      </c>
    </row>
    <row r="11" s="34" customFormat="1" ht="20.1" customHeight="1" spans="1:11">
      <c r="A11" s="161">
        <v>20105</v>
      </c>
      <c r="B11" s="163" t="s">
        <v>98</v>
      </c>
      <c r="C11" s="159">
        <f t="shared" si="0"/>
        <v>410</v>
      </c>
      <c r="D11" s="162">
        <v>410</v>
      </c>
      <c r="E11" s="162"/>
      <c r="F11" s="162"/>
      <c r="G11" s="162"/>
      <c r="H11" s="162"/>
      <c r="I11" s="162"/>
      <c r="J11" s="162"/>
      <c r="K11" s="56" t="str">
        <f>IF(C11-[1]表二!E50=0,"正确","错误，请检查")</f>
        <v>正确</v>
      </c>
    </row>
    <row r="12" s="34" customFormat="1" ht="20.1" customHeight="1" spans="1:11">
      <c r="A12" s="161">
        <v>20106</v>
      </c>
      <c r="B12" s="161" t="s">
        <v>105</v>
      </c>
      <c r="C12" s="159">
        <f t="shared" si="0"/>
        <v>1330</v>
      </c>
      <c r="D12" s="162">
        <v>1330</v>
      </c>
      <c r="E12" s="162"/>
      <c r="F12" s="162"/>
      <c r="G12" s="162"/>
      <c r="H12" s="162"/>
      <c r="I12" s="162"/>
      <c r="J12" s="162"/>
      <c r="K12" s="56" t="str">
        <f>IF(C12-[1]表二!E61=0,"正确","错误，请检查")</f>
        <v>正确</v>
      </c>
    </row>
    <row r="13" s="34" customFormat="1" ht="20.1" customHeight="1" spans="1:11">
      <c r="A13" s="161">
        <v>20107</v>
      </c>
      <c r="B13" s="161" t="s">
        <v>112</v>
      </c>
      <c r="C13" s="159">
        <f t="shared" si="0"/>
        <v>828</v>
      </c>
      <c r="D13" s="162">
        <v>828</v>
      </c>
      <c r="E13" s="162"/>
      <c r="F13" s="162"/>
      <c r="G13" s="162"/>
      <c r="H13" s="162"/>
      <c r="I13" s="162"/>
      <c r="J13" s="162"/>
      <c r="K13" s="56" t="str">
        <f>IF(C13-[1]表二!E72=0,"正确","错误，请检查")</f>
        <v>正确</v>
      </c>
    </row>
    <row r="14" s="34" customFormat="1" ht="20.1" customHeight="1" spans="1:11">
      <c r="A14" s="161">
        <v>20108</v>
      </c>
      <c r="B14" s="163" t="s">
        <v>115</v>
      </c>
      <c r="C14" s="159">
        <f t="shared" si="0"/>
        <v>232</v>
      </c>
      <c r="D14" s="162">
        <v>232</v>
      </c>
      <c r="E14" s="162"/>
      <c r="F14" s="162"/>
      <c r="G14" s="162"/>
      <c r="H14" s="162"/>
      <c r="I14" s="162"/>
      <c r="J14" s="162"/>
      <c r="K14" s="56" t="str">
        <f>IF(C14-[1]表二!E80=0,"正确","错误，请检查")</f>
        <v>正确</v>
      </c>
    </row>
    <row r="15" s="34" customFormat="1" ht="20.1" customHeight="1" spans="1:11">
      <c r="A15" s="161">
        <v>20109</v>
      </c>
      <c r="B15" s="161" t="s">
        <v>119</v>
      </c>
      <c r="C15" s="159">
        <f t="shared" si="0"/>
        <v>0</v>
      </c>
      <c r="D15" s="162"/>
      <c r="E15" s="162"/>
      <c r="F15" s="162"/>
      <c r="G15" s="162"/>
      <c r="H15" s="162"/>
      <c r="I15" s="162"/>
      <c r="J15" s="162"/>
      <c r="K15" s="56" t="str">
        <f>IF(C15-[1]表二!E89=0,"正确","错误，请检查")</f>
        <v>正确</v>
      </c>
    </row>
    <row r="16" s="34" customFormat="1" ht="20.1" customHeight="1" spans="1:11">
      <c r="A16" s="161">
        <v>20111</v>
      </c>
      <c r="B16" s="52" t="s">
        <v>127</v>
      </c>
      <c r="C16" s="159">
        <f t="shared" si="0"/>
        <v>1039</v>
      </c>
      <c r="D16" s="162">
        <v>1039</v>
      </c>
      <c r="E16" s="162"/>
      <c r="F16" s="162"/>
      <c r="G16" s="162"/>
      <c r="H16" s="162"/>
      <c r="I16" s="162"/>
      <c r="J16" s="162"/>
      <c r="K16" s="56" t="str">
        <f>IF(C16-[1]表二!E102=0,"正确","错误，请检查")</f>
        <v>正确</v>
      </c>
    </row>
    <row r="17" s="34" customFormat="1" ht="20.1" customHeight="1" spans="1:11">
      <c r="A17" s="161">
        <v>20113</v>
      </c>
      <c r="B17" s="52" t="s">
        <v>132</v>
      </c>
      <c r="C17" s="159">
        <f t="shared" si="0"/>
        <v>122</v>
      </c>
      <c r="D17" s="162">
        <v>122</v>
      </c>
      <c r="E17" s="162"/>
      <c r="F17" s="162"/>
      <c r="G17" s="162"/>
      <c r="H17" s="162"/>
      <c r="I17" s="162"/>
      <c r="J17" s="162"/>
      <c r="K17" s="56" t="str">
        <f>IF(C17-[1]表二!E111=0,"正确","错误，请检查")</f>
        <v>正确</v>
      </c>
    </row>
    <row r="18" s="34" customFormat="1" ht="20.1" customHeight="1" spans="1:11">
      <c r="A18" s="161">
        <v>20114</v>
      </c>
      <c r="B18" s="163" t="s">
        <v>139</v>
      </c>
      <c r="C18" s="159">
        <f t="shared" si="0"/>
        <v>0</v>
      </c>
      <c r="D18" s="162"/>
      <c r="E18" s="162"/>
      <c r="F18" s="162"/>
      <c r="G18" s="162"/>
      <c r="H18" s="162"/>
      <c r="I18" s="162"/>
      <c r="J18" s="162"/>
      <c r="K18" s="56" t="str">
        <f>IF(C18-[1]表二!E122=0,"正确","错误，请检查")</f>
        <v>正确</v>
      </c>
    </row>
    <row r="19" s="34" customFormat="1" ht="20.1" customHeight="1" spans="1:11">
      <c r="A19" s="161">
        <v>20123</v>
      </c>
      <c r="B19" s="161" t="s">
        <v>147</v>
      </c>
      <c r="C19" s="159">
        <f t="shared" si="0"/>
        <v>196</v>
      </c>
      <c r="D19" s="162">
        <v>196</v>
      </c>
      <c r="E19" s="162"/>
      <c r="F19" s="162"/>
      <c r="G19" s="162"/>
      <c r="H19" s="162"/>
      <c r="I19" s="162"/>
      <c r="J19" s="162"/>
      <c r="K19" s="56" t="str">
        <f>IF(C19-[1]表二!E134=0,"正确","错误，请检查")</f>
        <v>正确</v>
      </c>
    </row>
    <row r="20" s="34" customFormat="1" ht="20.1" customHeight="1" spans="1:11">
      <c r="A20" s="161">
        <v>20125</v>
      </c>
      <c r="B20" s="161" t="s">
        <v>150</v>
      </c>
      <c r="C20" s="159">
        <f t="shared" si="0"/>
        <v>0</v>
      </c>
      <c r="D20" s="162"/>
      <c r="E20" s="162"/>
      <c r="F20" s="162"/>
      <c r="G20" s="162"/>
      <c r="H20" s="162"/>
      <c r="I20" s="162"/>
      <c r="J20" s="162"/>
      <c r="K20" s="56" t="str">
        <f>IF(C20-[1]表二!E141=0,"正确","错误，请检查")</f>
        <v>正确</v>
      </c>
    </row>
    <row r="21" s="34" customFormat="1" ht="20.1" customHeight="1" spans="1:11">
      <c r="A21" s="161">
        <v>20126</v>
      </c>
      <c r="B21" s="163" t="s">
        <v>154</v>
      </c>
      <c r="C21" s="159">
        <f t="shared" si="0"/>
        <v>134</v>
      </c>
      <c r="D21" s="162">
        <v>134</v>
      </c>
      <c r="E21" s="162"/>
      <c r="F21" s="162"/>
      <c r="G21" s="162"/>
      <c r="H21" s="162"/>
      <c r="I21" s="162"/>
      <c r="J21" s="162"/>
      <c r="K21" s="56" t="str">
        <f>IF(C21-[1]表二!E149=0,"正确","错误，请检查")</f>
        <v>正确</v>
      </c>
    </row>
    <row r="22" s="34" customFormat="1" ht="18.75" customHeight="1" spans="1:11">
      <c r="A22" s="161">
        <v>20128</v>
      </c>
      <c r="B22" s="163" t="s">
        <v>157</v>
      </c>
      <c r="C22" s="159">
        <f t="shared" si="0"/>
        <v>0</v>
      </c>
      <c r="D22" s="162"/>
      <c r="E22" s="162"/>
      <c r="F22" s="162"/>
      <c r="G22" s="162"/>
      <c r="H22" s="162"/>
      <c r="I22" s="162"/>
      <c r="J22" s="162"/>
      <c r="K22" s="56" t="str">
        <f>IF(C22-[1]表二!E155=0,"正确","错误，请检查")</f>
        <v>正确</v>
      </c>
    </row>
    <row r="23" s="34" customFormat="1" ht="20.1" customHeight="1" spans="1:11">
      <c r="A23" s="161">
        <v>20129</v>
      </c>
      <c r="B23" s="163" t="s">
        <v>159</v>
      </c>
      <c r="C23" s="159">
        <f t="shared" si="0"/>
        <v>1103</v>
      </c>
      <c r="D23" s="162">
        <v>1059</v>
      </c>
      <c r="E23" s="162">
        <v>2</v>
      </c>
      <c r="F23" s="162">
        <v>42</v>
      </c>
      <c r="G23" s="162"/>
      <c r="H23" s="162"/>
      <c r="I23" s="162"/>
      <c r="J23" s="162"/>
      <c r="K23" s="56" t="str">
        <f>IF(C23-[1]表二!E162=0,"正确","错误，请检查")</f>
        <v>正确</v>
      </c>
    </row>
    <row r="24" s="34" customFormat="1" ht="20.1" customHeight="1" spans="1:11">
      <c r="A24" s="161">
        <v>20131</v>
      </c>
      <c r="B24" s="163" t="s">
        <v>162</v>
      </c>
      <c r="C24" s="159">
        <f t="shared" si="0"/>
        <v>1171</v>
      </c>
      <c r="D24" s="162">
        <v>1168</v>
      </c>
      <c r="E24" s="162"/>
      <c r="F24" s="162">
        <v>3</v>
      </c>
      <c r="G24" s="162"/>
      <c r="H24" s="162"/>
      <c r="I24" s="162"/>
      <c r="J24" s="162"/>
      <c r="K24" s="56" t="str">
        <f>IF(C24-[1]表二!E169=0,"正确","错误，请检查")</f>
        <v>正确</v>
      </c>
    </row>
    <row r="25" s="34" customFormat="1" ht="20.1" customHeight="1" spans="1:11">
      <c r="A25" s="161">
        <v>20132</v>
      </c>
      <c r="B25" s="163" t="s">
        <v>165</v>
      </c>
      <c r="C25" s="159">
        <f t="shared" si="0"/>
        <v>497</v>
      </c>
      <c r="D25" s="162">
        <v>460</v>
      </c>
      <c r="E25" s="162">
        <v>37</v>
      </c>
      <c r="F25" s="162"/>
      <c r="G25" s="162"/>
      <c r="H25" s="162"/>
      <c r="I25" s="162"/>
      <c r="J25" s="162"/>
      <c r="K25" s="56" t="str">
        <f>IF(C25-[1]表二!E176=0,"正确","错误，请检查")</f>
        <v>正确</v>
      </c>
    </row>
    <row r="26" s="34" customFormat="1" ht="20.1" customHeight="1" spans="1:11">
      <c r="A26" s="161">
        <v>20133</v>
      </c>
      <c r="B26" s="163" t="s">
        <v>168</v>
      </c>
      <c r="C26" s="159">
        <f t="shared" si="0"/>
        <v>266</v>
      </c>
      <c r="D26" s="162">
        <v>266</v>
      </c>
      <c r="E26" s="162"/>
      <c r="F26" s="162"/>
      <c r="G26" s="162"/>
      <c r="H26" s="162"/>
      <c r="I26" s="162"/>
      <c r="J26" s="162"/>
      <c r="K26" s="56" t="str">
        <f>IF(C26-[1]表二!E183=0,"正确","错误，请检查")</f>
        <v>正确</v>
      </c>
    </row>
    <row r="27" s="34" customFormat="1" ht="20.1" customHeight="1" spans="1:11">
      <c r="A27" s="161">
        <v>20134</v>
      </c>
      <c r="B27" s="163" t="s">
        <v>171</v>
      </c>
      <c r="C27" s="159">
        <f t="shared" si="0"/>
        <v>233</v>
      </c>
      <c r="D27" s="162">
        <v>233</v>
      </c>
      <c r="E27" s="162"/>
      <c r="F27" s="162"/>
      <c r="G27" s="162"/>
      <c r="H27" s="162"/>
      <c r="I27" s="162"/>
      <c r="J27" s="162"/>
      <c r="K27" s="56" t="str">
        <f>IF(C27-[1]表二!E190=0,"正确","错误，请检查")</f>
        <v>正确</v>
      </c>
    </row>
    <row r="28" s="34" customFormat="1" ht="20.1" customHeight="1" spans="1:11">
      <c r="A28" s="161">
        <v>20135</v>
      </c>
      <c r="B28" s="163" t="s">
        <v>175</v>
      </c>
      <c r="C28" s="159">
        <f t="shared" si="0"/>
        <v>0</v>
      </c>
      <c r="D28" s="162"/>
      <c r="E28" s="162"/>
      <c r="F28" s="162"/>
      <c r="G28" s="162"/>
      <c r="H28" s="162"/>
      <c r="I28" s="162"/>
      <c r="J28" s="162"/>
      <c r="K28" s="56" t="str">
        <f>IF(C28-[1]表二!E198=0,"正确","错误，请检查")</f>
        <v>正确</v>
      </c>
    </row>
    <row r="29" s="34" customFormat="1" ht="20.1" customHeight="1" spans="1:11">
      <c r="A29" s="161">
        <v>20136</v>
      </c>
      <c r="B29" s="163" t="s">
        <v>177</v>
      </c>
      <c r="C29" s="159">
        <f t="shared" si="0"/>
        <v>214</v>
      </c>
      <c r="D29" s="162">
        <v>214</v>
      </c>
      <c r="E29" s="162"/>
      <c r="F29" s="162"/>
      <c r="G29" s="162"/>
      <c r="H29" s="162"/>
      <c r="I29" s="162"/>
      <c r="J29" s="162"/>
      <c r="K29" s="56" t="str">
        <f>IF(C29-[1]表二!E204=0,"正确","错误，请检查")</f>
        <v>正确</v>
      </c>
    </row>
    <row r="30" s="34" customFormat="1" ht="20.1" customHeight="1" spans="1:11">
      <c r="A30" s="161">
        <v>20137</v>
      </c>
      <c r="B30" s="161" t="s">
        <v>179</v>
      </c>
      <c r="C30" s="159">
        <f t="shared" si="0"/>
        <v>0</v>
      </c>
      <c r="D30" s="162"/>
      <c r="E30" s="162"/>
      <c r="F30" s="162"/>
      <c r="G30" s="162"/>
      <c r="H30" s="162"/>
      <c r="I30" s="162"/>
      <c r="J30" s="162"/>
      <c r="K30" s="56" t="str">
        <f>IF(C30-[1]表二!E210=0,"正确","错误，请检查")</f>
        <v>正确</v>
      </c>
    </row>
    <row r="31" s="34" customFormat="1" ht="20.1" customHeight="1" spans="1:11">
      <c r="A31" s="161">
        <v>20138</v>
      </c>
      <c r="B31" s="161" t="s">
        <v>182</v>
      </c>
      <c r="C31" s="159">
        <f t="shared" si="0"/>
        <v>1180</v>
      </c>
      <c r="D31" s="162">
        <v>1172</v>
      </c>
      <c r="E31" s="162"/>
      <c r="F31" s="162">
        <v>8</v>
      </c>
      <c r="G31" s="162"/>
      <c r="H31" s="162"/>
      <c r="I31" s="162"/>
      <c r="J31" s="162"/>
      <c r="K31" s="56" t="str">
        <f>IF(C31-[1]表二!E217=0,"正确","错误，请检查")</f>
        <v>正确</v>
      </c>
    </row>
    <row r="32" s="34" customFormat="1" ht="20.1" customHeight="1" spans="1:11">
      <c r="A32" s="161">
        <v>20199</v>
      </c>
      <c r="B32" s="161" t="s">
        <v>192</v>
      </c>
      <c r="C32" s="159">
        <f t="shared" si="0"/>
        <v>1593</v>
      </c>
      <c r="D32" s="162">
        <f>1813-250</f>
        <v>1563</v>
      </c>
      <c r="E32" s="162"/>
      <c r="F32" s="162">
        <v>30</v>
      </c>
      <c r="G32" s="162"/>
      <c r="H32" s="162"/>
      <c r="I32" s="162"/>
      <c r="J32" s="162"/>
      <c r="K32" s="56" t="str">
        <f>IF(C32-[1]表二!E232=0,"正确","错误，请检查")</f>
        <v>正确</v>
      </c>
    </row>
    <row r="33" s="34" customFormat="1" ht="20.1" customHeight="1" spans="1:11">
      <c r="A33" s="50">
        <v>202</v>
      </c>
      <c r="B33" s="52" t="s">
        <v>195</v>
      </c>
      <c r="C33" s="159">
        <f t="shared" si="0"/>
        <v>0</v>
      </c>
      <c r="D33" s="160">
        <f t="shared" ref="D33:J33" si="2">SUM(D34:D35)</f>
        <v>0</v>
      </c>
      <c r="E33" s="160">
        <f t="shared" si="2"/>
        <v>0</v>
      </c>
      <c r="F33" s="160">
        <f t="shared" si="2"/>
        <v>0</v>
      </c>
      <c r="G33" s="160">
        <f t="shared" si="2"/>
        <v>0</v>
      </c>
      <c r="H33" s="160">
        <f t="shared" si="2"/>
        <v>0</v>
      </c>
      <c r="I33" s="160">
        <f t="shared" si="2"/>
        <v>0</v>
      </c>
      <c r="J33" s="160">
        <f t="shared" si="2"/>
        <v>0</v>
      </c>
      <c r="K33" s="56" t="str">
        <f>IF(C33-[1]表二!E235=0,"正确","错误，请检查")</f>
        <v>正确</v>
      </c>
    </row>
    <row r="34" s="34" customFormat="1" ht="20.1" customHeight="1" spans="1:11">
      <c r="A34" s="161">
        <v>20205</v>
      </c>
      <c r="B34" s="161" t="s">
        <v>196</v>
      </c>
      <c r="C34" s="159">
        <f t="shared" si="0"/>
        <v>0</v>
      </c>
      <c r="D34" s="162"/>
      <c r="E34" s="162"/>
      <c r="F34" s="162"/>
      <c r="G34" s="162"/>
      <c r="H34" s="162"/>
      <c r="I34" s="162"/>
      <c r="J34" s="162"/>
      <c r="K34" s="56" t="str">
        <f>IF(C34-[1]表二!E236=0,"正确","错误，请检查")</f>
        <v>正确</v>
      </c>
    </row>
    <row r="35" s="34" customFormat="1" ht="20.1" customHeight="1" spans="1:11">
      <c r="A35" s="161">
        <v>20299</v>
      </c>
      <c r="B35" s="161" t="s">
        <v>198</v>
      </c>
      <c r="C35" s="159">
        <f t="shared" si="0"/>
        <v>0</v>
      </c>
      <c r="D35" s="162"/>
      <c r="E35" s="162"/>
      <c r="F35" s="162"/>
      <c r="G35" s="162"/>
      <c r="H35" s="162"/>
      <c r="I35" s="162"/>
      <c r="J35" s="162"/>
      <c r="K35" s="56" t="str">
        <f>IF(C35-[1]表二!E238=0,"正确","错误，请检查")</f>
        <v>正确</v>
      </c>
    </row>
    <row r="36" s="34" customFormat="1" ht="20.1" customHeight="1" spans="1:11">
      <c r="A36" s="50">
        <v>203</v>
      </c>
      <c r="B36" s="52" t="s">
        <v>199</v>
      </c>
      <c r="C36" s="159">
        <f t="shared" si="0"/>
        <v>223</v>
      </c>
      <c r="D36" s="160">
        <f t="shared" ref="D36:J36" si="3">SUM(D37:D38)</f>
        <v>223</v>
      </c>
      <c r="E36" s="160">
        <f t="shared" si="3"/>
        <v>0</v>
      </c>
      <c r="F36" s="160">
        <f t="shared" si="3"/>
        <v>0</v>
      </c>
      <c r="G36" s="160">
        <f t="shared" si="3"/>
        <v>0</v>
      </c>
      <c r="H36" s="160">
        <f t="shared" si="3"/>
        <v>0</v>
      </c>
      <c r="I36" s="160">
        <f t="shared" si="3"/>
        <v>0</v>
      </c>
      <c r="J36" s="160">
        <f t="shared" si="3"/>
        <v>0</v>
      </c>
      <c r="K36" s="56" t="str">
        <f>IF(C36-[1]表二!E239=0,"正确","错误，请检查")</f>
        <v>正确</v>
      </c>
    </row>
    <row r="37" s="34" customFormat="1" ht="20.1" customHeight="1" spans="1:11">
      <c r="A37" s="50">
        <v>20306</v>
      </c>
      <c r="B37" s="163" t="s">
        <v>200</v>
      </c>
      <c r="C37" s="159">
        <f t="shared" si="0"/>
        <v>79</v>
      </c>
      <c r="D37" s="162">
        <v>79</v>
      </c>
      <c r="E37" s="162"/>
      <c r="F37" s="162"/>
      <c r="G37" s="162"/>
      <c r="H37" s="162"/>
      <c r="I37" s="162"/>
      <c r="J37" s="162"/>
      <c r="K37" s="56" t="str">
        <f>IF(C37-[1]表二!E240=0,"正确","错误，请检查")</f>
        <v>正确</v>
      </c>
    </row>
    <row r="38" s="34" customFormat="1" ht="20.1" customHeight="1" spans="1:11">
      <c r="A38" s="50">
        <v>20399</v>
      </c>
      <c r="B38" s="163" t="s">
        <v>208</v>
      </c>
      <c r="C38" s="159">
        <f t="shared" si="0"/>
        <v>144</v>
      </c>
      <c r="D38" s="162">
        <v>144</v>
      </c>
      <c r="E38" s="162"/>
      <c r="F38" s="162"/>
      <c r="G38" s="162"/>
      <c r="H38" s="162"/>
      <c r="I38" s="162"/>
      <c r="J38" s="162"/>
      <c r="K38" s="56" t="str">
        <f>IF(C38-[1]表二!E248=0,"正确","错误，请检查")</f>
        <v>正确</v>
      </c>
    </row>
    <row r="39" s="34" customFormat="1" ht="20.1" customHeight="1" spans="1:11">
      <c r="A39" s="161">
        <v>204</v>
      </c>
      <c r="B39" s="52" t="s">
        <v>1140</v>
      </c>
      <c r="C39" s="159">
        <f t="shared" si="0"/>
        <v>9605</v>
      </c>
      <c r="D39" s="160">
        <f t="shared" ref="D39:J39" si="4">SUM(D40:D50)</f>
        <v>8809</v>
      </c>
      <c r="E39" s="160">
        <f t="shared" si="4"/>
        <v>0</v>
      </c>
      <c r="F39" s="160">
        <f t="shared" si="4"/>
        <v>796</v>
      </c>
      <c r="G39" s="160">
        <f t="shared" si="4"/>
        <v>0</v>
      </c>
      <c r="H39" s="160">
        <f t="shared" si="4"/>
        <v>0</v>
      </c>
      <c r="I39" s="160">
        <f t="shared" si="4"/>
        <v>0</v>
      </c>
      <c r="J39" s="160">
        <f t="shared" si="4"/>
        <v>0</v>
      </c>
      <c r="K39" s="56" t="str">
        <f>IF(C39-[1]表二!E249=0,"正确","错误，请检查")</f>
        <v>正确</v>
      </c>
    </row>
    <row r="40" s="34" customFormat="1" ht="20.1" customHeight="1" spans="1:11">
      <c r="A40" s="161">
        <v>20401</v>
      </c>
      <c r="B40" s="161" t="s">
        <v>210</v>
      </c>
      <c r="C40" s="159">
        <f t="shared" si="0"/>
        <v>33</v>
      </c>
      <c r="D40" s="162">
        <v>33</v>
      </c>
      <c r="E40" s="162"/>
      <c r="F40" s="162"/>
      <c r="G40" s="162"/>
      <c r="H40" s="162"/>
      <c r="I40" s="162"/>
      <c r="J40" s="162"/>
      <c r="K40" s="56" t="str">
        <f>IF(C40-[1]表二!E250=0,"正确","错误，请检查")</f>
        <v>正确</v>
      </c>
    </row>
    <row r="41" s="34" customFormat="1" ht="20.1" customHeight="1" spans="1:11">
      <c r="A41" s="161">
        <v>20402</v>
      </c>
      <c r="B41" s="163" t="s">
        <v>213</v>
      </c>
      <c r="C41" s="159">
        <f t="shared" si="0"/>
        <v>6050</v>
      </c>
      <c r="D41" s="164">
        <v>5766</v>
      </c>
      <c r="E41" s="164"/>
      <c r="F41" s="164">
        <v>284</v>
      </c>
      <c r="G41" s="164"/>
      <c r="H41" s="164"/>
      <c r="I41" s="164"/>
      <c r="J41" s="164"/>
      <c r="K41" s="56" t="str">
        <f>IF(C41-[1]表二!E253=0,"正确","错误，请检查")</f>
        <v>正确</v>
      </c>
    </row>
    <row r="42" s="34" customFormat="1" ht="20.1" customHeight="1" spans="1:11">
      <c r="A42" s="161">
        <v>20403</v>
      </c>
      <c r="B42" s="161" t="s">
        <v>219</v>
      </c>
      <c r="C42" s="159">
        <f t="shared" si="0"/>
        <v>0</v>
      </c>
      <c r="D42" s="164"/>
      <c r="E42" s="164"/>
      <c r="F42" s="164"/>
      <c r="G42" s="164"/>
      <c r="H42" s="164"/>
      <c r="I42" s="164"/>
      <c r="J42" s="164"/>
      <c r="K42" s="56" t="str">
        <f>IF(C42-[1]表二!E264=0,"正确","错误，请检查")</f>
        <v>正确</v>
      </c>
    </row>
    <row r="43" s="34" customFormat="1" ht="20.1" customHeight="1" spans="1:11">
      <c r="A43" s="161">
        <v>20404</v>
      </c>
      <c r="B43" s="161" t="s">
        <v>222</v>
      </c>
      <c r="C43" s="159">
        <f t="shared" si="0"/>
        <v>838</v>
      </c>
      <c r="D43" s="164">
        <v>649</v>
      </c>
      <c r="E43" s="164"/>
      <c r="F43" s="164">
        <v>189</v>
      </c>
      <c r="G43" s="164"/>
      <c r="H43" s="164"/>
      <c r="I43" s="164"/>
      <c r="J43" s="164"/>
      <c r="K43" s="56" t="str">
        <f>IF(C43-[1]表二!E271=0,"正确","错误，请检查")</f>
        <v>正确</v>
      </c>
    </row>
    <row r="44" s="34" customFormat="1" ht="20.1" customHeight="1" spans="1:11">
      <c r="A44" s="161">
        <v>20405</v>
      </c>
      <c r="B44" s="52" t="s">
        <v>226</v>
      </c>
      <c r="C44" s="159">
        <f t="shared" si="0"/>
        <v>1997</v>
      </c>
      <c r="D44" s="164">
        <v>1690</v>
      </c>
      <c r="E44" s="164"/>
      <c r="F44" s="164">
        <v>307</v>
      </c>
      <c r="G44" s="164"/>
      <c r="H44" s="164"/>
      <c r="I44" s="164"/>
      <c r="J44" s="164"/>
      <c r="K44" s="56" t="str">
        <f>IF(C44-[1]表二!E279=0,"正确","错误，请检查")</f>
        <v>正确</v>
      </c>
    </row>
    <row r="45" s="34" customFormat="1" ht="20.1" customHeight="1" spans="1:11">
      <c r="A45" s="161">
        <v>20406</v>
      </c>
      <c r="B45" s="161" t="s">
        <v>231</v>
      </c>
      <c r="C45" s="159">
        <f t="shared" si="0"/>
        <v>679</v>
      </c>
      <c r="D45" s="164">
        <v>663</v>
      </c>
      <c r="E45" s="164"/>
      <c r="F45" s="164">
        <v>16</v>
      </c>
      <c r="G45" s="164"/>
      <c r="H45" s="164"/>
      <c r="I45" s="164"/>
      <c r="J45" s="164"/>
      <c r="K45" s="56" t="str">
        <f>IF(C45-[1]表二!E288=0,"正确","错误，请检查")</f>
        <v>正确</v>
      </c>
    </row>
    <row r="46" s="34" customFormat="1" ht="20.1" customHeight="1" spans="1:11">
      <c r="A46" s="161">
        <v>20407</v>
      </c>
      <c r="B46" s="161" t="s">
        <v>240</v>
      </c>
      <c r="C46" s="159">
        <f t="shared" si="0"/>
        <v>0</v>
      </c>
      <c r="D46" s="164"/>
      <c r="E46" s="164"/>
      <c r="F46" s="164"/>
      <c r="G46" s="164"/>
      <c r="H46" s="164"/>
      <c r="I46" s="164"/>
      <c r="J46" s="164"/>
      <c r="K46" s="56" t="str">
        <f>IF(C46-[1]表二!E302=0,"正确","错误，请检查")</f>
        <v>正确</v>
      </c>
    </row>
    <row r="47" s="34" customFormat="1" ht="20.1" customHeight="1" spans="1:11">
      <c r="A47" s="161">
        <v>20408</v>
      </c>
      <c r="B47" s="163" t="s">
        <v>245</v>
      </c>
      <c r="C47" s="159">
        <f t="shared" si="0"/>
        <v>0</v>
      </c>
      <c r="D47" s="164"/>
      <c r="E47" s="164"/>
      <c r="F47" s="164"/>
      <c r="G47" s="164"/>
      <c r="H47" s="164"/>
      <c r="I47" s="164"/>
      <c r="J47" s="164"/>
      <c r="K47" s="56" t="str">
        <f>IF(C47-[1]表二!E312=0,"正确","错误，请检查")</f>
        <v>正确</v>
      </c>
    </row>
    <row r="48" s="34" customFormat="1" ht="20.1" customHeight="1" spans="1:11">
      <c r="A48" s="161">
        <v>20409</v>
      </c>
      <c r="B48" s="52" t="s">
        <v>250</v>
      </c>
      <c r="C48" s="159">
        <f t="shared" si="0"/>
        <v>0</v>
      </c>
      <c r="D48" s="164"/>
      <c r="E48" s="164"/>
      <c r="F48" s="164"/>
      <c r="G48" s="164"/>
      <c r="H48" s="164"/>
      <c r="I48" s="164"/>
      <c r="J48" s="164"/>
      <c r="K48" s="56" t="str">
        <f>IF(C48-[1]表二!E322=0,"正确","错误，请检查")</f>
        <v>正确</v>
      </c>
    </row>
    <row r="49" s="34" customFormat="1" ht="20.1" customHeight="1" spans="1:11">
      <c r="A49" s="161">
        <v>20410</v>
      </c>
      <c r="B49" s="161" t="s">
        <v>254</v>
      </c>
      <c r="C49" s="159">
        <f t="shared" si="0"/>
        <v>0</v>
      </c>
      <c r="D49" s="164"/>
      <c r="E49" s="164"/>
      <c r="F49" s="164"/>
      <c r="G49" s="164"/>
      <c r="H49" s="164"/>
      <c r="I49" s="164"/>
      <c r="J49" s="164"/>
      <c r="K49" s="56" t="str">
        <f>IF(C49-[1]表二!E330=0,"正确","错误，请检查")</f>
        <v>正确</v>
      </c>
    </row>
    <row r="50" s="34" customFormat="1" ht="20.1" customHeight="1" spans="1:11">
      <c r="A50" s="161">
        <v>20499</v>
      </c>
      <c r="B50" s="161" t="s">
        <v>257</v>
      </c>
      <c r="C50" s="159">
        <f t="shared" si="0"/>
        <v>8</v>
      </c>
      <c r="D50" s="164">
        <v>8</v>
      </c>
      <c r="E50" s="164"/>
      <c r="F50" s="164"/>
      <c r="G50" s="164"/>
      <c r="H50" s="164"/>
      <c r="I50" s="164"/>
      <c r="J50" s="164"/>
      <c r="K50" s="56" t="str">
        <f>IF(C50-[1]表二!E336=0,"正确","错误，请检查")</f>
        <v>正确</v>
      </c>
    </row>
    <row r="51" s="34" customFormat="1" ht="19.5" customHeight="1" spans="1:11">
      <c r="A51" s="161">
        <v>205</v>
      </c>
      <c r="B51" s="52" t="s">
        <v>260</v>
      </c>
      <c r="C51" s="159">
        <f t="shared" si="0"/>
        <v>34191</v>
      </c>
      <c r="D51" s="153">
        <f t="shared" ref="D51:J51" si="5">SUM(D52:D61)</f>
        <v>29434</v>
      </c>
      <c r="E51" s="153">
        <f t="shared" si="5"/>
        <v>0</v>
      </c>
      <c r="F51" s="153">
        <f t="shared" si="5"/>
        <v>3355</v>
      </c>
      <c r="G51" s="153">
        <f t="shared" si="5"/>
        <v>1402</v>
      </c>
      <c r="H51" s="153">
        <f t="shared" si="5"/>
        <v>0</v>
      </c>
      <c r="I51" s="153">
        <f t="shared" si="5"/>
        <v>0</v>
      </c>
      <c r="J51" s="153">
        <f t="shared" si="5"/>
        <v>0</v>
      </c>
      <c r="K51" s="56" t="str">
        <f>IF(C51-[1]表二!E339=0,"正确","错误，请检查")</f>
        <v>正确</v>
      </c>
    </row>
    <row r="52" s="34" customFormat="1" ht="20.1" customHeight="1" spans="1:11">
      <c r="A52" s="161">
        <v>20501</v>
      </c>
      <c r="B52" s="163" t="s">
        <v>261</v>
      </c>
      <c r="C52" s="159">
        <f t="shared" si="0"/>
        <v>854</v>
      </c>
      <c r="D52" s="164">
        <v>854</v>
      </c>
      <c r="E52" s="164"/>
      <c r="F52" s="164"/>
      <c r="G52" s="164"/>
      <c r="H52" s="164"/>
      <c r="I52" s="164"/>
      <c r="J52" s="164"/>
      <c r="K52" s="56" t="str">
        <f>IF(C52-[1]表二!E340=0,"正确","错误，请检查")</f>
        <v>正确</v>
      </c>
    </row>
    <row r="53" s="34" customFormat="1" ht="20.1" customHeight="1" spans="1:11">
      <c r="A53" s="161">
        <v>20502</v>
      </c>
      <c r="B53" s="161" t="s">
        <v>263</v>
      </c>
      <c r="C53" s="159">
        <f t="shared" si="0"/>
        <v>32721</v>
      </c>
      <c r="D53" s="164">
        <v>27964</v>
      </c>
      <c r="E53" s="164"/>
      <c r="F53" s="164">
        <v>3355</v>
      </c>
      <c r="G53" s="164">
        <v>1402</v>
      </c>
      <c r="H53" s="164"/>
      <c r="I53" s="164"/>
      <c r="J53" s="164"/>
      <c r="K53" s="56" t="str">
        <f>IF(C53-[1]表二!E345=0,"正确","错误，请检查")</f>
        <v>正确</v>
      </c>
    </row>
    <row r="54" s="34" customFormat="1" ht="20.1" customHeight="1" spans="1:11">
      <c r="A54" s="161">
        <v>20503</v>
      </c>
      <c r="B54" s="161" t="s">
        <v>270</v>
      </c>
      <c r="C54" s="159">
        <f t="shared" si="0"/>
        <v>146</v>
      </c>
      <c r="D54" s="164">
        <v>146</v>
      </c>
      <c r="E54" s="164"/>
      <c r="F54" s="164"/>
      <c r="G54" s="164"/>
      <c r="H54" s="164"/>
      <c r="I54" s="164"/>
      <c r="J54" s="164"/>
      <c r="K54" s="56" t="str">
        <f>IF(C54-[1]表二!E352=0,"正确","错误，请检查")</f>
        <v>正确</v>
      </c>
    </row>
    <row r="55" s="34" customFormat="1" ht="20.1" customHeight="1" spans="1:11">
      <c r="A55" s="161">
        <v>20504</v>
      </c>
      <c r="B55" s="52" t="s">
        <v>276</v>
      </c>
      <c r="C55" s="159">
        <f t="shared" si="0"/>
        <v>7</v>
      </c>
      <c r="D55" s="164">
        <v>7</v>
      </c>
      <c r="E55" s="164"/>
      <c r="F55" s="164"/>
      <c r="G55" s="164"/>
      <c r="H55" s="164"/>
      <c r="I55" s="164"/>
      <c r="J55" s="164"/>
      <c r="K55" s="56" t="str">
        <f>IF(C55-[1]表二!E358=0,"正确","错误，请检查")</f>
        <v>正确</v>
      </c>
    </row>
    <row r="56" s="34" customFormat="1" ht="20.1" customHeight="1" spans="1:11">
      <c r="A56" s="161">
        <v>20505</v>
      </c>
      <c r="B56" s="163" t="s">
        <v>282</v>
      </c>
      <c r="C56" s="159">
        <f t="shared" si="0"/>
        <v>0</v>
      </c>
      <c r="D56" s="164"/>
      <c r="E56" s="164"/>
      <c r="F56" s="164"/>
      <c r="G56" s="164"/>
      <c r="H56" s="164"/>
      <c r="I56" s="164"/>
      <c r="J56" s="164"/>
      <c r="K56" s="56" t="str">
        <f>IF(C56-[1]表二!E364=0,"正确","错误，请检查")</f>
        <v>正确</v>
      </c>
    </row>
    <row r="57" s="34" customFormat="1" ht="20.1" customHeight="1" spans="1:11">
      <c r="A57" s="161">
        <v>20506</v>
      </c>
      <c r="B57" s="163" t="s">
        <v>286</v>
      </c>
      <c r="C57" s="159">
        <f t="shared" si="0"/>
        <v>0</v>
      </c>
      <c r="D57" s="164"/>
      <c r="E57" s="164"/>
      <c r="F57" s="164"/>
      <c r="G57" s="164"/>
      <c r="H57" s="164"/>
      <c r="I57" s="164"/>
      <c r="J57" s="164"/>
      <c r="K57" s="56" t="str">
        <f>IF(C57-[1]表二!E368=0,"正确","错误，请检查")</f>
        <v>正确</v>
      </c>
    </row>
    <row r="58" s="34" customFormat="1" ht="20.1" customHeight="1" spans="1:11">
      <c r="A58" s="161">
        <v>20507</v>
      </c>
      <c r="B58" s="161" t="s">
        <v>290</v>
      </c>
      <c r="C58" s="159">
        <f t="shared" si="0"/>
        <v>20</v>
      </c>
      <c r="D58" s="164">
        <v>20</v>
      </c>
      <c r="E58" s="164"/>
      <c r="F58" s="164"/>
      <c r="G58" s="164"/>
      <c r="H58" s="164"/>
      <c r="I58" s="164"/>
      <c r="J58" s="164"/>
      <c r="K58" s="56" t="str">
        <f>IF(C58-[1]表二!E372=0,"正确","错误，请检查")</f>
        <v>正确</v>
      </c>
    </row>
    <row r="59" s="34" customFormat="1" ht="20.1" customHeight="1" spans="1:11">
      <c r="A59" s="161">
        <v>20508</v>
      </c>
      <c r="B59" s="163" t="s">
        <v>294</v>
      </c>
      <c r="C59" s="159">
        <f t="shared" si="0"/>
        <v>177</v>
      </c>
      <c r="D59" s="164">
        <v>177</v>
      </c>
      <c r="E59" s="164"/>
      <c r="F59" s="164"/>
      <c r="G59" s="164"/>
      <c r="H59" s="164"/>
      <c r="I59" s="164"/>
      <c r="J59" s="164"/>
      <c r="K59" s="56" t="str">
        <f>IF(C59-[1]表二!E376=0,"正确","错误，请检查")</f>
        <v>正确</v>
      </c>
    </row>
    <row r="60" s="34" customFormat="1" ht="20.1" customHeight="1" spans="1:11">
      <c r="A60" s="161">
        <v>20509</v>
      </c>
      <c r="B60" s="161" t="s">
        <v>300</v>
      </c>
      <c r="C60" s="159">
        <f t="shared" si="0"/>
        <v>265</v>
      </c>
      <c r="D60" s="164">
        <v>265</v>
      </c>
      <c r="E60" s="164"/>
      <c r="F60" s="164"/>
      <c r="G60" s="164"/>
      <c r="H60" s="164"/>
      <c r="I60" s="164"/>
      <c r="J60" s="164"/>
      <c r="K60" s="56" t="str">
        <f>IF(C60-[1]表二!E382=0,"正确","错误，请检查")</f>
        <v>正确</v>
      </c>
    </row>
    <row r="61" s="34" customFormat="1" ht="20.1" customHeight="1" spans="1:11">
      <c r="A61" s="161">
        <v>20599</v>
      </c>
      <c r="B61" s="161" t="s">
        <v>307</v>
      </c>
      <c r="C61" s="159">
        <f t="shared" si="0"/>
        <v>1</v>
      </c>
      <c r="D61" s="164">
        <v>1</v>
      </c>
      <c r="E61" s="164"/>
      <c r="F61" s="164"/>
      <c r="G61" s="164"/>
      <c r="H61" s="164"/>
      <c r="I61" s="164"/>
      <c r="J61" s="164"/>
      <c r="K61" s="56" t="str">
        <f>IF(C61-[1]表二!E389=0,"正确","错误，请检查")</f>
        <v>正确</v>
      </c>
    </row>
    <row r="62" s="34" customFormat="1" ht="20.1" customHeight="1" spans="1:11">
      <c r="A62" s="161">
        <v>206</v>
      </c>
      <c r="B62" s="52" t="s">
        <v>308</v>
      </c>
      <c r="C62" s="159">
        <f t="shared" si="0"/>
        <v>196</v>
      </c>
      <c r="D62" s="153">
        <f t="shared" ref="D62:J62" si="6">SUM(D63:D72)</f>
        <v>188</v>
      </c>
      <c r="E62" s="153">
        <f t="shared" si="6"/>
        <v>0</v>
      </c>
      <c r="F62" s="153">
        <f t="shared" si="6"/>
        <v>8</v>
      </c>
      <c r="G62" s="153">
        <f t="shared" si="6"/>
        <v>0</v>
      </c>
      <c r="H62" s="153">
        <f t="shared" si="6"/>
        <v>0</v>
      </c>
      <c r="I62" s="153">
        <f t="shared" si="6"/>
        <v>0</v>
      </c>
      <c r="J62" s="153">
        <f t="shared" si="6"/>
        <v>0</v>
      </c>
      <c r="K62" s="56" t="str">
        <f>IF(C62-[1]表二!E390=0,"正确","错误，请检查")</f>
        <v>正确</v>
      </c>
    </row>
    <row r="63" s="34" customFormat="1" ht="20.1" customHeight="1" spans="1:11">
      <c r="A63" s="161">
        <v>20601</v>
      </c>
      <c r="B63" s="163" t="s">
        <v>309</v>
      </c>
      <c r="C63" s="159">
        <f t="shared" si="0"/>
        <v>182</v>
      </c>
      <c r="D63" s="164">
        <v>182</v>
      </c>
      <c r="E63" s="164"/>
      <c r="F63" s="164"/>
      <c r="G63" s="164"/>
      <c r="H63" s="164"/>
      <c r="I63" s="164"/>
      <c r="J63" s="164"/>
      <c r="K63" s="56" t="str">
        <f>IF(C63-[1]表二!E391=0,"正确","错误，请检查")</f>
        <v>正确</v>
      </c>
    </row>
    <row r="64" s="34" customFormat="1" ht="20.1" customHeight="1" spans="1:11">
      <c r="A64" s="161">
        <v>20602</v>
      </c>
      <c r="B64" s="161" t="s">
        <v>311</v>
      </c>
      <c r="C64" s="159">
        <f t="shared" si="0"/>
        <v>0</v>
      </c>
      <c r="D64" s="164"/>
      <c r="E64" s="164"/>
      <c r="F64" s="164"/>
      <c r="G64" s="164"/>
      <c r="H64" s="164"/>
      <c r="I64" s="164"/>
      <c r="J64" s="164"/>
      <c r="K64" s="56" t="str">
        <f>IF(C64-[1]表二!E396=0,"正确","错误，请检查")</f>
        <v>正确</v>
      </c>
    </row>
    <row r="65" s="34" customFormat="1" ht="20.1" customHeight="1" spans="1:11">
      <c r="A65" s="161">
        <v>20603</v>
      </c>
      <c r="B65" s="163" t="s">
        <v>320</v>
      </c>
      <c r="C65" s="159">
        <f t="shared" si="0"/>
        <v>8</v>
      </c>
      <c r="D65" s="164"/>
      <c r="E65" s="164"/>
      <c r="F65" s="164">
        <v>8</v>
      </c>
      <c r="G65" s="164"/>
      <c r="H65" s="164"/>
      <c r="I65" s="164"/>
      <c r="J65" s="164"/>
      <c r="K65" s="56" t="str">
        <f>IF(C65-[1]表二!E405=0,"正确","错误，请检查")</f>
        <v>正确</v>
      </c>
    </row>
    <row r="66" s="34" customFormat="1" ht="20.1" customHeight="1" spans="1:11">
      <c r="A66" s="161">
        <v>20604</v>
      </c>
      <c r="B66" s="163" t="s">
        <v>325</v>
      </c>
      <c r="C66" s="159">
        <f t="shared" si="0"/>
        <v>2</v>
      </c>
      <c r="D66" s="164">
        <v>2</v>
      </c>
      <c r="E66" s="164"/>
      <c r="F66" s="164"/>
      <c r="G66" s="164"/>
      <c r="H66" s="164"/>
      <c r="I66" s="164"/>
      <c r="J66" s="164"/>
      <c r="K66" s="56" t="str">
        <f>IF(C66-[1]表二!E411=0,"正确","错误，请检查")</f>
        <v>正确</v>
      </c>
    </row>
    <row r="67" s="34" customFormat="1" ht="20.1" customHeight="1" spans="1:11">
      <c r="A67" s="161">
        <v>20605</v>
      </c>
      <c r="B67" s="163" t="s">
        <v>329</v>
      </c>
      <c r="C67" s="159">
        <f t="shared" si="0"/>
        <v>0</v>
      </c>
      <c r="D67" s="164"/>
      <c r="E67" s="164"/>
      <c r="F67" s="164"/>
      <c r="G67" s="164"/>
      <c r="H67" s="164"/>
      <c r="I67" s="164"/>
      <c r="J67" s="164"/>
      <c r="K67" s="56" t="str">
        <f>IF(C67-[1]表二!E416=0,"正确","错误，请检查")</f>
        <v>正确</v>
      </c>
    </row>
    <row r="68" s="34" customFormat="1" ht="20.1" customHeight="1" spans="1:11">
      <c r="A68" s="161">
        <v>20606</v>
      </c>
      <c r="B68" s="163" t="s">
        <v>333</v>
      </c>
      <c r="C68" s="159">
        <f t="shared" si="0"/>
        <v>0</v>
      </c>
      <c r="D68" s="164"/>
      <c r="E68" s="164"/>
      <c r="F68" s="164"/>
      <c r="G68" s="164"/>
      <c r="H68" s="164"/>
      <c r="I68" s="164"/>
      <c r="J68" s="164"/>
      <c r="K68" s="56" t="str">
        <f>IF(C68-[1]表二!E421=0,"正确","错误，请检查")</f>
        <v>正确</v>
      </c>
    </row>
    <row r="69" s="34" customFormat="1" ht="20.1" customHeight="1" spans="1:11">
      <c r="A69" s="161">
        <v>20607</v>
      </c>
      <c r="B69" s="161" t="s">
        <v>338</v>
      </c>
      <c r="C69" s="159">
        <f t="shared" si="0"/>
        <v>1</v>
      </c>
      <c r="D69" s="164">
        <v>1</v>
      </c>
      <c r="E69" s="164"/>
      <c r="F69" s="164"/>
      <c r="G69" s="164"/>
      <c r="H69" s="164"/>
      <c r="I69" s="164"/>
      <c r="J69" s="164"/>
      <c r="K69" s="56" t="str">
        <f>IF(C69-[1]表二!E426=0,"正确","错误，请检查")</f>
        <v>正确</v>
      </c>
    </row>
    <row r="70" s="34" customFormat="1" ht="20.1" customHeight="1" spans="1:11">
      <c r="A70" s="161">
        <v>20608</v>
      </c>
      <c r="B70" s="161" t="s">
        <v>344</v>
      </c>
      <c r="C70" s="159">
        <f t="shared" ref="C70:C133" si="7">SUM(D70:I70)</f>
        <v>0</v>
      </c>
      <c r="D70" s="164"/>
      <c r="E70" s="164"/>
      <c r="F70" s="164"/>
      <c r="G70" s="164"/>
      <c r="H70" s="164"/>
      <c r="I70" s="164"/>
      <c r="J70" s="164"/>
      <c r="K70" s="56" t="str">
        <f>IF(C70-[1]表二!E433=0,"正确","错误，请检查")</f>
        <v>正确</v>
      </c>
    </row>
    <row r="71" s="34" customFormat="1" ht="20.1" customHeight="1" spans="1:11">
      <c r="A71" s="161">
        <v>20609</v>
      </c>
      <c r="B71" s="52" t="s">
        <v>348</v>
      </c>
      <c r="C71" s="159">
        <f t="shared" si="7"/>
        <v>0</v>
      </c>
      <c r="D71" s="164"/>
      <c r="E71" s="164"/>
      <c r="F71" s="164"/>
      <c r="G71" s="164"/>
      <c r="H71" s="164"/>
      <c r="I71" s="164"/>
      <c r="J71" s="164"/>
      <c r="K71" s="56" t="str">
        <f>IF(C71-[1]表二!E437=0,"正确","错误，请检查")</f>
        <v>正确</v>
      </c>
    </row>
    <row r="72" s="34" customFormat="1" ht="20.1" customHeight="1" spans="1:11">
      <c r="A72" s="161">
        <v>20699</v>
      </c>
      <c r="B72" s="161" t="s">
        <v>352</v>
      </c>
      <c r="C72" s="159">
        <f t="shared" si="7"/>
        <v>3</v>
      </c>
      <c r="D72" s="164">
        <v>3</v>
      </c>
      <c r="E72" s="164"/>
      <c r="F72" s="164"/>
      <c r="G72" s="164"/>
      <c r="H72" s="164"/>
      <c r="I72" s="164"/>
      <c r="J72" s="164"/>
      <c r="K72" s="56" t="str">
        <f>IF(C72-[1]表二!E441=0,"正确","错误，请检查")</f>
        <v>正确</v>
      </c>
    </row>
    <row r="73" s="34" customFormat="1" ht="20.1" customHeight="1" spans="1:11">
      <c r="A73" s="161">
        <v>207</v>
      </c>
      <c r="B73" s="52" t="s">
        <v>357</v>
      </c>
      <c r="C73" s="159">
        <f t="shared" si="7"/>
        <v>3895</v>
      </c>
      <c r="D73" s="153">
        <f t="shared" ref="D73:J73" si="8">SUM(D74:D79)</f>
        <v>2340</v>
      </c>
      <c r="E73" s="153">
        <f t="shared" si="8"/>
        <v>1000</v>
      </c>
      <c r="F73" s="153">
        <f t="shared" si="8"/>
        <v>555</v>
      </c>
      <c r="G73" s="153">
        <f t="shared" si="8"/>
        <v>0</v>
      </c>
      <c r="H73" s="153">
        <f t="shared" si="8"/>
        <v>0</v>
      </c>
      <c r="I73" s="153">
        <f t="shared" si="8"/>
        <v>0</v>
      </c>
      <c r="J73" s="153">
        <f t="shared" si="8"/>
        <v>0</v>
      </c>
      <c r="K73" s="56" t="str">
        <f>IF(C73-[1]表二!E446=0,"正确","错误，请检查")</f>
        <v>正确</v>
      </c>
    </row>
    <row r="74" s="34" customFormat="1" ht="20.1" customHeight="1" spans="1:11">
      <c r="A74" s="161">
        <v>20701</v>
      </c>
      <c r="B74" s="52" t="s">
        <v>358</v>
      </c>
      <c r="C74" s="159">
        <f t="shared" si="7"/>
        <v>2646</v>
      </c>
      <c r="D74" s="164">
        <v>1354</v>
      </c>
      <c r="E74" s="164">
        <v>1000</v>
      </c>
      <c r="F74" s="164">
        <v>292</v>
      </c>
      <c r="G74" s="164"/>
      <c r="H74" s="164"/>
      <c r="I74" s="164"/>
      <c r="J74" s="164"/>
      <c r="K74" s="56" t="str">
        <f>IF(C74-[1]表二!E447=0,"正确","错误，请检查")</f>
        <v>正确</v>
      </c>
    </row>
    <row r="75" s="34" customFormat="1" ht="20.1" customHeight="1" spans="1:11">
      <c r="A75" s="161">
        <v>20702</v>
      </c>
      <c r="B75" s="52" t="s">
        <v>371</v>
      </c>
      <c r="C75" s="159">
        <f t="shared" si="7"/>
        <v>334</v>
      </c>
      <c r="D75" s="164">
        <v>146</v>
      </c>
      <c r="E75" s="164"/>
      <c r="F75" s="164">
        <v>188</v>
      </c>
      <c r="G75" s="164"/>
      <c r="H75" s="164"/>
      <c r="I75" s="164"/>
      <c r="J75" s="164"/>
      <c r="K75" s="56" t="str">
        <f>IF(C75-[1]表二!E463=0,"正确","错误，请检查")</f>
        <v>正确</v>
      </c>
    </row>
    <row r="76" s="34" customFormat="1" ht="20.1" customHeight="1" spans="1:11">
      <c r="A76" s="161">
        <v>20703</v>
      </c>
      <c r="B76" s="52" t="s">
        <v>376</v>
      </c>
      <c r="C76" s="159">
        <f t="shared" si="7"/>
        <v>145</v>
      </c>
      <c r="D76" s="164">
        <v>125</v>
      </c>
      <c r="E76" s="164"/>
      <c r="F76" s="164">
        <v>20</v>
      </c>
      <c r="G76" s="164"/>
      <c r="H76" s="164"/>
      <c r="I76" s="164"/>
      <c r="J76" s="164"/>
      <c r="K76" s="56" t="str">
        <f>IF(C76-[1]表二!E471=0,"正确","错误，请检查")</f>
        <v>正确</v>
      </c>
    </row>
    <row r="77" s="34" customFormat="1" ht="20.1" customHeight="1" spans="1:11">
      <c r="A77" s="161">
        <v>20706</v>
      </c>
      <c r="B77" s="52" t="s">
        <v>384</v>
      </c>
      <c r="C77" s="159">
        <f t="shared" si="7"/>
        <v>0</v>
      </c>
      <c r="D77" s="164"/>
      <c r="E77" s="164"/>
      <c r="F77" s="164"/>
      <c r="G77" s="164"/>
      <c r="H77" s="164"/>
      <c r="I77" s="164"/>
      <c r="J77" s="164"/>
      <c r="K77" s="56" t="str">
        <f>IF(C77-[1]表二!E482=0,"正确","错误，请检查")</f>
        <v>正确</v>
      </c>
    </row>
    <row r="78" s="34" customFormat="1" ht="20.1" customHeight="1" spans="1:11">
      <c r="A78" s="161">
        <v>20708</v>
      </c>
      <c r="B78" s="52" t="s">
        <v>390</v>
      </c>
      <c r="C78" s="159">
        <f t="shared" si="7"/>
        <v>685</v>
      </c>
      <c r="D78" s="164">
        <v>659</v>
      </c>
      <c r="E78" s="164"/>
      <c r="F78" s="164">
        <v>26</v>
      </c>
      <c r="G78" s="164"/>
      <c r="H78" s="164"/>
      <c r="I78" s="164"/>
      <c r="J78" s="164"/>
      <c r="K78" s="56" t="str">
        <f>IF(C78-[1]表二!E491=0,"正确","错误，请检查")</f>
        <v>正确</v>
      </c>
    </row>
    <row r="79" s="34" customFormat="1" ht="20.1" customHeight="1" spans="1:11">
      <c r="A79" s="161">
        <v>20799</v>
      </c>
      <c r="B79" s="52" t="s">
        <v>395</v>
      </c>
      <c r="C79" s="159">
        <f t="shared" si="7"/>
        <v>85</v>
      </c>
      <c r="D79" s="164">
        <v>56</v>
      </c>
      <c r="E79" s="164"/>
      <c r="F79" s="164">
        <v>29</v>
      </c>
      <c r="G79" s="164"/>
      <c r="H79" s="164"/>
      <c r="I79" s="164"/>
      <c r="J79" s="164"/>
      <c r="K79" s="56" t="str">
        <f>IF(C79-[1]表二!E499=0,"正确","错误，请检查")</f>
        <v>正确</v>
      </c>
    </row>
    <row r="80" s="34" customFormat="1" ht="20.1" customHeight="1" spans="1:11">
      <c r="A80" s="161">
        <v>208</v>
      </c>
      <c r="B80" s="52" t="s">
        <v>399</v>
      </c>
      <c r="C80" s="159">
        <f t="shared" si="7"/>
        <v>29058</v>
      </c>
      <c r="D80" s="153">
        <f t="shared" ref="D80:J80" si="9">SUM(D81:D101)</f>
        <v>27121</v>
      </c>
      <c r="E80" s="153">
        <f t="shared" si="9"/>
        <v>150</v>
      </c>
      <c r="F80" s="153">
        <f t="shared" si="9"/>
        <v>539</v>
      </c>
      <c r="G80" s="153">
        <f t="shared" si="9"/>
        <v>1248</v>
      </c>
      <c r="H80" s="153">
        <f t="shared" si="9"/>
        <v>0</v>
      </c>
      <c r="I80" s="153">
        <f t="shared" si="9"/>
        <v>0</v>
      </c>
      <c r="J80" s="153">
        <f t="shared" si="9"/>
        <v>0</v>
      </c>
      <c r="K80" s="56" t="str">
        <f>IF(C80-[1]表二!E503=0,"正确","错误，请检查")</f>
        <v>正确</v>
      </c>
    </row>
    <row r="81" s="34" customFormat="1" ht="20.1" customHeight="1" spans="1:11">
      <c r="A81" s="161">
        <v>20801</v>
      </c>
      <c r="B81" s="52" t="s">
        <v>400</v>
      </c>
      <c r="C81" s="159">
        <f t="shared" si="7"/>
        <v>715</v>
      </c>
      <c r="D81" s="164">
        <v>623</v>
      </c>
      <c r="E81" s="164">
        <v>67</v>
      </c>
      <c r="F81" s="164">
        <v>25</v>
      </c>
      <c r="G81" s="164"/>
      <c r="H81" s="164"/>
      <c r="I81" s="164"/>
      <c r="J81" s="164"/>
      <c r="K81" s="56" t="str">
        <f>IF(C81-[1]表二!E504=0,"正确","错误，请检查")</f>
        <v>正确</v>
      </c>
    </row>
    <row r="82" s="34" customFormat="1" ht="20.1" customHeight="1" spans="1:11">
      <c r="A82" s="161">
        <v>20802</v>
      </c>
      <c r="B82" s="52" t="s">
        <v>414</v>
      </c>
      <c r="C82" s="159">
        <f t="shared" si="7"/>
        <v>441</v>
      </c>
      <c r="D82" s="164">
        <v>441</v>
      </c>
      <c r="E82" s="164"/>
      <c r="F82" s="164"/>
      <c r="G82" s="164"/>
      <c r="H82" s="164"/>
      <c r="I82" s="164"/>
      <c r="J82" s="164"/>
      <c r="K82" s="56" t="str">
        <f>IF(C82-[1]表二!E523=0,"正确","错误，请检查")</f>
        <v>正确</v>
      </c>
    </row>
    <row r="83" s="34" customFormat="1" ht="20.1" customHeight="1" spans="1:11">
      <c r="A83" s="161">
        <v>20804</v>
      </c>
      <c r="B83" s="52" t="s">
        <v>419</v>
      </c>
      <c r="C83" s="159">
        <f t="shared" si="7"/>
        <v>0</v>
      </c>
      <c r="D83" s="164"/>
      <c r="E83" s="164"/>
      <c r="F83" s="164"/>
      <c r="G83" s="164"/>
      <c r="H83" s="164"/>
      <c r="I83" s="164"/>
      <c r="J83" s="164"/>
      <c r="K83" s="56" t="str">
        <f>IF(C83-[1]表二!E531=0,"正确","错误，请检查")</f>
        <v>正确</v>
      </c>
    </row>
    <row r="84" s="34" customFormat="1" ht="20.1" customHeight="1" spans="1:11">
      <c r="A84" s="161">
        <v>20805</v>
      </c>
      <c r="B84" s="52" t="s">
        <v>421</v>
      </c>
      <c r="C84" s="159">
        <f t="shared" si="7"/>
        <v>15765</v>
      </c>
      <c r="D84" s="164">
        <v>15765</v>
      </c>
      <c r="E84" s="164"/>
      <c r="F84" s="164"/>
      <c r="G84" s="164"/>
      <c r="H84" s="164"/>
      <c r="I84" s="164"/>
      <c r="J84" s="164"/>
      <c r="K84" s="56" t="str">
        <f>IF(C84-[1]表二!E533=0,"正确","错误，请检查")</f>
        <v>正确</v>
      </c>
    </row>
    <row r="85" s="34" customFormat="1" ht="20.1" customHeight="1" spans="1:11">
      <c r="A85" s="161">
        <v>20806</v>
      </c>
      <c r="B85" s="52" t="s">
        <v>430</v>
      </c>
      <c r="C85" s="159">
        <f t="shared" si="7"/>
        <v>0</v>
      </c>
      <c r="D85" s="164"/>
      <c r="E85" s="164"/>
      <c r="F85" s="164"/>
      <c r="G85" s="164"/>
      <c r="H85" s="164"/>
      <c r="I85" s="164"/>
      <c r="J85" s="164"/>
      <c r="K85" s="56" t="str">
        <f>IF(C85-[1]表二!E542=0,"正确","错误，请检查")</f>
        <v>正确</v>
      </c>
    </row>
    <row r="86" s="34" customFormat="1" ht="20.1" customHeight="1" spans="1:11">
      <c r="A86" s="161">
        <v>20807</v>
      </c>
      <c r="B86" s="52" t="s">
        <v>434</v>
      </c>
      <c r="C86" s="159">
        <f t="shared" si="7"/>
        <v>818</v>
      </c>
      <c r="D86" s="164">
        <v>818</v>
      </c>
      <c r="E86" s="164"/>
      <c r="F86" s="164"/>
      <c r="G86" s="164"/>
      <c r="H86" s="164"/>
      <c r="I86" s="164"/>
      <c r="J86" s="164"/>
      <c r="K86" s="56" t="str">
        <f>IF(C86-[1]表二!E546=0,"正确","错误，请检查")</f>
        <v>正确</v>
      </c>
    </row>
    <row r="87" s="34" customFormat="1" ht="20.1" customHeight="1" spans="1:11">
      <c r="A87" s="161">
        <v>20808</v>
      </c>
      <c r="B87" s="52" t="s">
        <v>444</v>
      </c>
      <c r="C87" s="159">
        <f t="shared" si="7"/>
        <v>831</v>
      </c>
      <c r="D87" s="164">
        <v>552</v>
      </c>
      <c r="E87" s="164"/>
      <c r="F87" s="164">
        <v>279</v>
      </c>
      <c r="G87" s="164"/>
      <c r="H87" s="164"/>
      <c r="I87" s="164"/>
      <c r="J87" s="164"/>
      <c r="K87" s="56" t="str">
        <f>IF(C87-[1]表二!E556=0,"正确","错误，请检查")</f>
        <v>正确</v>
      </c>
    </row>
    <row r="88" s="34" customFormat="1" ht="20.1" customHeight="1" spans="1:11">
      <c r="A88" s="161">
        <v>20809</v>
      </c>
      <c r="B88" s="52" t="s">
        <v>453</v>
      </c>
      <c r="C88" s="159">
        <f t="shared" si="7"/>
        <v>98</v>
      </c>
      <c r="D88" s="164">
        <v>62</v>
      </c>
      <c r="E88" s="164"/>
      <c r="F88" s="164">
        <v>36</v>
      </c>
      <c r="G88" s="164"/>
      <c r="H88" s="164"/>
      <c r="I88" s="164"/>
      <c r="J88" s="164"/>
      <c r="K88" s="56" t="str">
        <f>IF(C88-[1]表二!E565=0,"正确","错误，请检查")</f>
        <v>正确</v>
      </c>
    </row>
    <row r="89" s="34" customFormat="1" ht="20.1" customHeight="1" spans="1:11">
      <c r="A89" s="161">
        <v>20810</v>
      </c>
      <c r="B89" s="52" t="s">
        <v>460</v>
      </c>
      <c r="C89" s="159">
        <f t="shared" si="7"/>
        <v>83</v>
      </c>
      <c r="D89" s="164">
        <v>83</v>
      </c>
      <c r="E89" s="164"/>
      <c r="F89" s="164"/>
      <c r="G89" s="164"/>
      <c r="H89" s="164"/>
      <c r="I89" s="164"/>
      <c r="J89" s="164"/>
      <c r="K89" s="56" t="str">
        <f>IF(C89-[1]表二!E572=0,"正确","错误，请检查")</f>
        <v>正确</v>
      </c>
    </row>
    <row r="90" s="34" customFormat="1" ht="20.1" customHeight="1" spans="1:11">
      <c r="A90" s="161">
        <v>20811</v>
      </c>
      <c r="B90" s="52" t="s">
        <v>468</v>
      </c>
      <c r="C90" s="159">
        <f t="shared" si="7"/>
        <v>1018</v>
      </c>
      <c r="D90" s="164">
        <f>1009-E90</f>
        <v>927</v>
      </c>
      <c r="E90" s="164">
        <v>82</v>
      </c>
      <c r="F90" s="164">
        <v>9</v>
      </c>
      <c r="G90" s="164"/>
      <c r="H90" s="164"/>
      <c r="I90" s="164"/>
      <c r="J90" s="164"/>
      <c r="K90" s="56" t="str">
        <f>IF(C90-[1]表二!E580=0,"正确","错误，请检查")</f>
        <v>正确</v>
      </c>
    </row>
    <row r="91" s="34" customFormat="1" ht="20.1" customHeight="1" spans="1:11">
      <c r="A91" s="161">
        <v>20816</v>
      </c>
      <c r="B91" s="52" t="s">
        <v>474</v>
      </c>
      <c r="C91" s="159">
        <f t="shared" si="7"/>
        <v>0</v>
      </c>
      <c r="D91" s="164"/>
      <c r="E91" s="164"/>
      <c r="F91" s="164"/>
      <c r="G91" s="164"/>
      <c r="H91" s="164"/>
      <c r="I91" s="164"/>
      <c r="J91" s="164"/>
      <c r="K91" s="56" t="str">
        <f>IF(C91-[1]表二!E589=0,"正确","错误，请检查")</f>
        <v>正确</v>
      </c>
    </row>
    <row r="92" s="34" customFormat="1" ht="20.1" customHeight="1" spans="1:11">
      <c r="A92" s="161">
        <v>20819</v>
      </c>
      <c r="B92" s="52" t="s">
        <v>476</v>
      </c>
      <c r="C92" s="159">
        <f t="shared" si="7"/>
        <v>3328</v>
      </c>
      <c r="D92" s="164">
        <v>3328</v>
      </c>
      <c r="E92" s="164"/>
      <c r="F92" s="164"/>
      <c r="G92" s="164"/>
      <c r="H92" s="164"/>
      <c r="I92" s="164"/>
      <c r="J92" s="164"/>
      <c r="K92" s="56" t="str">
        <f>IF(C92-[1]表二!E594=0,"正确","错误，请检查")</f>
        <v>正确</v>
      </c>
    </row>
    <row r="93" s="34" customFormat="1" ht="20.1" customHeight="1" spans="1:11">
      <c r="A93" s="161">
        <v>20820</v>
      </c>
      <c r="B93" s="52" t="s">
        <v>479</v>
      </c>
      <c r="C93" s="159">
        <f t="shared" si="7"/>
        <v>176</v>
      </c>
      <c r="D93" s="164">
        <v>176</v>
      </c>
      <c r="E93" s="164"/>
      <c r="F93" s="164"/>
      <c r="G93" s="164"/>
      <c r="H93" s="164"/>
      <c r="I93" s="164"/>
      <c r="J93" s="164"/>
      <c r="K93" s="56" t="str">
        <f>IF(C93-[1]表二!E597=0,"正确","错误，请检查")</f>
        <v>正确</v>
      </c>
    </row>
    <row r="94" s="34" customFormat="1" ht="20.1" customHeight="1" spans="1:11">
      <c r="A94" s="161">
        <v>20821</v>
      </c>
      <c r="B94" s="52" t="s">
        <v>482</v>
      </c>
      <c r="C94" s="159">
        <f t="shared" si="7"/>
        <v>546</v>
      </c>
      <c r="D94" s="164">
        <v>534</v>
      </c>
      <c r="E94" s="164"/>
      <c r="F94" s="164">
        <v>12</v>
      </c>
      <c r="G94" s="164"/>
      <c r="H94" s="164"/>
      <c r="I94" s="164"/>
      <c r="J94" s="164"/>
      <c r="K94" s="56" t="str">
        <f>IF(C94-[1]表二!E600=0,"正确","错误，请检查")</f>
        <v>正确</v>
      </c>
    </row>
    <row r="95" s="34" customFormat="1" ht="20.1" customHeight="1" spans="1:11">
      <c r="A95" s="161">
        <v>20824</v>
      </c>
      <c r="B95" s="52" t="s">
        <v>485</v>
      </c>
      <c r="C95" s="159">
        <f t="shared" si="7"/>
        <v>0</v>
      </c>
      <c r="D95" s="164"/>
      <c r="E95" s="164"/>
      <c r="F95" s="164"/>
      <c r="G95" s="164"/>
      <c r="H95" s="164"/>
      <c r="I95" s="164"/>
      <c r="J95" s="164"/>
      <c r="K95" s="56" t="str">
        <f>IF(C95-[1]表二!E603=0,"正确","错误，请检查")</f>
        <v>正确</v>
      </c>
    </row>
    <row r="96" s="34" customFormat="1" ht="20.1" customHeight="1" spans="1:11">
      <c r="A96" s="161">
        <v>20825</v>
      </c>
      <c r="B96" s="52" t="s">
        <v>488</v>
      </c>
      <c r="C96" s="159">
        <f t="shared" si="7"/>
        <v>2</v>
      </c>
      <c r="D96" s="164">
        <f>1-E96</f>
        <v>0</v>
      </c>
      <c r="E96" s="164">
        <v>1</v>
      </c>
      <c r="F96" s="164">
        <v>1</v>
      </c>
      <c r="G96" s="164"/>
      <c r="H96" s="164"/>
      <c r="I96" s="164"/>
      <c r="J96" s="164"/>
      <c r="K96" s="56" t="str">
        <f>IF(C96-[1]表二!E606=0,"正确","错误，请检查")</f>
        <v>正确</v>
      </c>
    </row>
    <row r="97" s="34" customFormat="1" ht="20.1" customHeight="1" spans="1:11">
      <c r="A97" s="161">
        <v>20826</v>
      </c>
      <c r="B97" s="52" t="s">
        <v>491</v>
      </c>
      <c r="C97" s="159">
        <f t="shared" si="7"/>
        <v>4676</v>
      </c>
      <c r="D97" s="164">
        <v>3428</v>
      </c>
      <c r="E97" s="164"/>
      <c r="F97" s="164"/>
      <c r="G97" s="164">
        <v>1248</v>
      </c>
      <c r="H97" s="164"/>
      <c r="I97" s="164"/>
      <c r="J97" s="164"/>
      <c r="K97" s="56" t="str">
        <f>IF(C97-[1]表二!E609=0,"正确","错误，请检查")</f>
        <v>正确</v>
      </c>
    </row>
    <row r="98" s="34" customFormat="1" ht="20.1" customHeight="1" spans="1:11">
      <c r="A98" s="161">
        <v>20827</v>
      </c>
      <c r="B98" s="52" t="s">
        <v>495</v>
      </c>
      <c r="C98" s="159">
        <f t="shared" si="7"/>
        <v>0</v>
      </c>
      <c r="D98" s="164"/>
      <c r="E98" s="164"/>
      <c r="F98" s="164"/>
      <c r="G98" s="164"/>
      <c r="H98" s="164"/>
      <c r="I98" s="164"/>
      <c r="J98" s="164"/>
      <c r="K98" s="56" t="str">
        <f>IF(C98-[1]表二!E613=0,"正确","错误，请检查")</f>
        <v>正确</v>
      </c>
    </row>
    <row r="99" s="34" customFormat="1" ht="20.1" customHeight="1" spans="1:11">
      <c r="A99" s="161">
        <v>20828</v>
      </c>
      <c r="B99" s="50" t="s">
        <v>499</v>
      </c>
      <c r="C99" s="159">
        <f t="shared" si="7"/>
        <v>230</v>
      </c>
      <c r="D99" s="164">
        <v>228</v>
      </c>
      <c r="E99" s="164"/>
      <c r="F99" s="164">
        <v>2</v>
      </c>
      <c r="G99" s="164"/>
      <c r="H99" s="164"/>
      <c r="I99" s="164"/>
      <c r="J99" s="164"/>
      <c r="K99" s="56" t="str">
        <f>IF(C99-[1]表二!E617=0,"正确","错误，请检查")</f>
        <v>正确</v>
      </c>
    </row>
    <row r="100" s="34" customFormat="1" ht="20.1" customHeight="1" spans="1:11">
      <c r="A100" s="161">
        <v>20830</v>
      </c>
      <c r="B100" s="52" t="s">
        <v>503</v>
      </c>
      <c r="C100" s="159">
        <f t="shared" si="7"/>
        <v>181</v>
      </c>
      <c r="D100" s="164">
        <v>6</v>
      </c>
      <c r="E100" s="164"/>
      <c r="F100" s="164">
        <v>175</v>
      </c>
      <c r="G100" s="164"/>
      <c r="H100" s="164"/>
      <c r="I100" s="164"/>
      <c r="J100" s="164"/>
      <c r="K100" s="56" t="str">
        <f>IF(C100-[1]表二!E625=0,"正确","错误，请检查")</f>
        <v>正确</v>
      </c>
    </row>
    <row r="101" s="34" customFormat="1" ht="20.1" customHeight="1" spans="1:11">
      <c r="A101" s="161">
        <v>20899</v>
      </c>
      <c r="B101" s="52" t="s">
        <v>506</v>
      </c>
      <c r="C101" s="159">
        <f t="shared" si="7"/>
        <v>150</v>
      </c>
      <c r="D101" s="164">
        <v>150</v>
      </c>
      <c r="E101" s="164"/>
      <c r="F101" s="164"/>
      <c r="G101" s="164"/>
      <c r="H101" s="164"/>
      <c r="I101" s="164"/>
      <c r="J101" s="164"/>
      <c r="K101" s="56" t="str">
        <f>IF(C101-[1]表二!E628=0,"正确","错误，请检查")</f>
        <v>正确</v>
      </c>
    </row>
    <row r="102" s="34" customFormat="1" ht="20.1" customHeight="1" spans="1:11">
      <c r="A102" s="161">
        <v>210</v>
      </c>
      <c r="B102" s="52" t="s">
        <v>507</v>
      </c>
      <c r="C102" s="159">
        <f t="shared" si="7"/>
        <v>14482</v>
      </c>
      <c r="D102" s="153">
        <f t="shared" ref="D102:J102" si="10">SUM(D103:D115)</f>
        <v>11987</v>
      </c>
      <c r="E102" s="153">
        <f t="shared" si="10"/>
        <v>270</v>
      </c>
      <c r="F102" s="153">
        <f t="shared" si="10"/>
        <v>2225</v>
      </c>
      <c r="G102" s="153">
        <f t="shared" si="10"/>
        <v>0</v>
      </c>
      <c r="H102" s="153">
        <f t="shared" si="10"/>
        <v>0</v>
      </c>
      <c r="I102" s="153">
        <f t="shared" si="10"/>
        <v>0</v>
      </c>
      <c r="J102" s="153">
        <f t="shared" si="10"/>
        <v>0</v>
      </c>
      <c r="K102" s="56" t="str">
        <f>IF(C102-[1]表二!E629=0,"正确","错误，请检查")</f>
        <v>正确</v>
      </c>
    </row>
    <row r="103" s="34" customFormat="1" ht="20.1" customHeight="1" spans="1:11">
      <c r="A103" s="161">
        <v>21001</v>
      </c>
      <c r="B103" s="52" t="s">
        <v>508</v>
      </c>
      <c r="C103" s="159">
        <f t="shared" si="7"/>
        <v>668</v>
      </c>
      <c r="D103" s="164">
        <v>668</v>
      </c>
      <c r="E103" s="164"/>
      <c r="F103" s="164"/>
      <c r="G103" s="164"/>
      <c r="H103" s="164"/>
      <c r="I103" s="164"/>
      <c r="J103" s="164"/>
      <c r="K103" s="56" t="str">
        <f>IF(C103-[1]表二!E630=0,"正确","错误，请检查")</f>
        <v>正确</v>
      </c>
    </row>
    <row r="104" s="34" customFormat="1" ht="20.1" customHeight="1" spans="1:11">
      <c r="A104" s="161">
        <v>21002</v>
      </c>
      <c r="B104" s="52" t="s">
        <v>510</v>
      </c>
      <c r="C104" s="159">
        <f t="shared" si="7"/>
        <v>2855</v>
      </c>
      <c r="D104" s="164">
        <v>1728</v>
      </c>
      <c r="E104" s="164"/>
      <c r="F104" s="164">
        <v>1127</v>
      </c>
      <c r="G104" s="164"/>
      <c r="H104" s="164"/>
      <c r="I104" s="164"/>
      <c r="J104" s="164"/>
      <c r="K104" s="56" t="str">
        <f>IF(C104-[1]表二!E635=0,"正确","错误，请检查")</f>
        <v>正确</v>
      </c>
    </row>
    <row r="105" s="34" customFormat="1" ht="20.1" customHeight="1" spans="1:11">
      <c r="A105" s="161">
        <v>21003</v>
      </c>
      <c r="B105" s="52" t="s">
        <v>525</v>
      </c>
      <c r="C105" s="159">
        <f t="shared" si="7"/>
        <v>2385</v>
      </c>
      <c r="D105" s="164">
        <v>1939</v>
      </c>
      <c r="E105" s="164"/>
      <c r="F105" s="164">
        <v>446</v>
      </c>
      <c r="G105" s="164"/>
      <c r="H105" s="164"/>
      <c r="I105" s="164"/>
      <c r="J105" s="164"/>
      <c r="K105" s="56" t="str">
        <f>IF(C105-[1]表二!E650=0,"正确","错误，请检查")</f>
        <v>正确</v>
      </c>
    </row>
    <row r="106" s="34" customFormat="1" ht="20.1" customHeight="1" spans="1:11">
      <c r="A106" s="161">
        <v>21004</v>
      </c>
      <c r="B106" s="52" t="s">
        <v>529</v>
      </c>
      <c r="C106" s="159">
        <f t="shared" si="7"/>
        <v>2794</v>
      </c>
      <c r="D106" s="164">
        <f>2529-E106</f>
        <v>2259</v>
      </c>
      <c r="E106" s="164">
        <v>270</v>
      </c>
      <c r="F106" s="164">
        <v>265</v>
      </c>
      <c r="G106" s="164"/>
      <c r="H106" s="164"/>
      <c r="I106" s="164"/>
      <c r="J106" s="164"/>
      <c r="K106" s="56" t="str">
        <f>IF(C106-[1]表二!E654=0,"正确","错误，请检查")</f>
        <v>正确</v>
      </c>
    </row>
    <row r="107" s="34" customFormat="1" ht="20.1" customHeight="1" spans="1:11">
      <c r="A107" s="161">
        <v>21006</v>
      </c>
      <c r="B107" s="52" t="s">
        <v>541</v>
      </c>
      <c r="C107" s="159">
        <f t="shared" si="7"/>
        <v>161</v>
      </c>
      <c r="D107" s="164">
        <v>160</v>
      </c>
      <c r="E107" s="164"/>
      <c r="F107" s="164">
        <v>1</v>
      </c>
      <c r="G107" s="164"/>
      <c r="H107" s="164"/>
      <c r="I107" s="164"/>
      <c r="J107" s="164"/>
      <c r="K107" s="56" t="str">
        <f>IF(C107-[1]表二!E666=0,"正确","错误，请检查")</f>
        <v>正确</v>
      </c>
    </row>
    <row r="108" s="34" customFormat="1" ht="20.1" customHeight="1" spans="1:11">
      <c r="A108" s="161">
        <v>21007</v>
      </c>
      <c r="B108" s="52" t="s">
        <v>544</v>
      </c>
      <c r="C108" s="159">
        <f t="shared" si="7"/>
        <v>1488</v>
      </c>
      <c r="D108" s="164">
        <v>1488</v>
      </c>
      <c r="E108" s="164"/>
      <c r="F108" s="164"/>
      <c r="G108" s="164"/>
      <c r="H108" s="164"/>
      <c r="I108" s="164"/>
      <c r="J108" s="164"/>
      <c r="K108" s="56" t="str">
        <f>IF(C108-[1]表二!E669=0,"正确","错误，请检查")</f>
        <v>正确</v>
      </c>
    </row>
    <row r="109" s="34" customFormat="1" ht="20.1" customHeight="1" spans="1:11">
      <c r="A109" s="161">
        <v>21011</v>
      </c>
      <c r="B109" s="52" t="s">
        <v>548</v>
      </c>
      <c r="C109" s="159">
        <f t="shared" si="7"/>
        <v>1998</v>
      </c>
      <c r="D109" s="164">
        <v>1998</v>
      </c>
      <c r="E109" s="164"/>
      <c r="F109" s="164"/>
      <c r="G109" s="164"/>
      <c r="H109" s="164"/>
      <c r="I109" s="164"/>
      <c r="J109" s="164"/>
      <c r="K109" s="56" t="str">
        <f>IF(C109-[1]表二!E673=0,"正确","错误，请检查")</f>
        <v>正确</v>
      </c>
    </row>
    <row r="110" s="34" customFormat="1" ht="20.1" customHeight="1" spans="1:11">
      <c r="A110" s="161">
        <v>21012</v>
      </c>
      <c r="B110" s="52" t="s">
        <v>553</v>
      </c>
      <c r="C110" s="159">
        <f t="shared" si="7"/>
        <v>525</v>
      </c>
      <c r="D110" s="164">
        <v>525</v>
      </c>
      <c r="E110" s="164"/>
      <c r="F110" s="164"/>
      <c r="G110" s="164"/>
      <c r="H110" s="164"/>
      <c r="I110" s="164"/>
      <c r="J110" s="164"/>
      <c r="K110" s="56" t="str">
        <f>IF(C110-[1]表二!E678=0,"正确","错误，请检查")</f>
        <v>正确</v>
      </c>
    </row>
    <row r="111" s="34" customFormat="1" ht="20.1" customHeight="1" spans="1:11">
      <c r="A111" s="161">
        <v>21013</v>
      </c>
      <c r="B111" s="52" t="s">
        <v>557</v>
      </c>
      <c r="C111" s="159">
        <f t="shared" si="7"/>
        <v>553</v>
      </c>
      <c r="D111" s="164">
        <v>553</v>
      </c>
      <c r="E111" s="164"/>
      <c r="F111" s="164"/>
      <c r="G111" s="164"/>
      <c r="H111" s="164"/>
      <c r="I111" s="164"/>
      <c r="J111" s="164"/>
      <c r="K111" s="56" t="str">
        <f>IF(C111-[1]表二!E682=0,"正确","错误，请检查")</f>
        <v>正确</v>
      </c>
    </row>
    <row r="112" s="34" customFormat="1" ht="20.1" customHeight="1" spans="1:11">
      <c r="A112" s="161">
        <v>21014</v>
      </c>
      <c r="B112" s="52" t="s">
        <v>561</v>
      </c>
      <c r="C112" s="159">
        <f t="shared" si="7"/>
        <v>30</v>
      </c>
      <c r="D112" s="164">
        <v>3</v>
      </c>
      <c r="E112" s="164"/>
      <c r="F112" s="164">
        <v>27</v>
      </c>
      <c r="G112" s="164"/>
      <c r="H112" s="164"/>
      <c r="I112" s="164"/>
      <c r="J112" s="164"/>
      <c r="K112" s="56" t="str">
        <f>IF(C112-[1]表二!E686=0,"正确","错误，请检查")</f>
        <v>正确</v>
      </c>
    </row>
    <row r="113" s="34" customFormat="1" ht="20.1" customHeight="1" spans="1:11">
      <c r="A113" s="161">
        <v>21015</v>
      </c>
      <c r="B113" s="52" t="s">
        <v>564</v>
      </c>
      <c r="C113" s="159">
        <f t="shared" si="7"/>
        <v>340</v>
      </c>
      <c r="D113" s="164">
        <v>339</v>
      </c>
      <c r="E113" s="164"/>
      <c r="F113" s="164">
        <v>1</v>
      </c>
      <c r="G113" s="164"/>
      <c r="H113" s="164"/>
      <c r="I113" s="164"/>
      <c r="J113" s="164"/>
      <c r="K113" s="56" t="str">
        <f>IF(C113-[1]表二!E689=0,"正确","错误，请检查")</f>
        <v>正确</v>
      </c>
    </row>
    <row r="114" s="34" customFormat="1" ht="20.1" customHeight="1" spans="1:11">
      <c r="A114" s="161">
        <v>21016</v>
      </c>
      <c r="B114" s="52" t="s">
        <v>568</v>
      </c>
      <c r="C114" s="159">
        <f t="shared" si="7"/>
        <v>323</v>
      </c>
      <c r="D114" s="164">
        <v>323</v>
      </c>
      <c r="E114" s="164"/>
      <c r="F114" s="164"/>
      <c r="G114" s="164"/>
      <c r="H114" s="164"/>
      <c r="I114" s="164"/>
      <c r="J114" s="164"/>
      <c r="K114" s="56" t="str">
        <f>IF(C114-[1]表二!E698=0,"正确","错误，请检查")</f>
        <v>正确</v>
      </c>
    </row>
    <row r="115" s="34" customFormat="1" ht="20.1" customHeight="1" spans="1:11">
      <c r="A115" s="161">
        <v>21099</v>
      </c>
      <c r="B115" s="52" t="s">
        <v>569</v>
      </c>
      <c r="C115" s="159">
        <f t="shared" si="7"/>
        <v>362</v>
      </c>
      <c r="D115" s="164">
        <v>4</v>
      </c>
      <c r="E115" s="164"/>
      <c r="F115" s="164">
        <v>358</v>
      </c>
      <c r="G115" s="164"/>
      <c r="H115" s="164"/>
      <c r="I115" s="164"/>
      <c r="J115" s="164"/>
      <c r="K115" s="56" t="str">
        <f>IF(C115-[1]表二!E699=0,"正确","错误，请检查")</f>
        <v>正确</v>
      </c>
    </row>
    <row r="116" s="34" customFormat="1" ht="20.1" customHeight="1" spans="1:11">
      <c r="A116" s="161">
        <v>211</v>
      </c>
      <c r="B116" s="52" t="s">
        <v>570</v>
      </c>
      <c r="C116" s="159">
        <f t="shared" si="7"/>
        <v>5449</v>
      </c>
      <c r="D116" s="153">
        <f t="shared" ref="D116:J116" si="11">SUM(D117:D131)</f>
        <v>2506</v>
      </c>
      <c r="E116" s="153">
        <f t="shared" si="11"/>
        <v>0</v>
      </c>
      <c r="F116" s="153">
        <f t="shared" si="11"/>
        <v>2943</v>
      </c>
      <c r="G116" s="153">
        <f t="shared" si="11"/>
        <v>0</v>
      </c>
      <c r="H116" s="153">
        <f t="shared" si="11"/>
        <v>0</v>
      </c>
      <c r="I116" s="153">
        <f t="shared" si="11"/>
        <v>0</v>
      </c>
      <c r="J116" s="153">
        <f t="shared" si="11"/>
        <v>0</v>
      </c>
      <c r="K116" s="56" t="str">
        <f>IF(C116-[1]表二!E700=0,"正确","错误，请检查")</f>
        <v>正确</v>
      </c>
    </row>
    <row r="117" s="34" customFormat="1" ht="20.1" customHeight="1" spans="1:11">
      <c r="A117" s="161">
        <v>21101</v>
      </c>
      <c r="B117" s="52" t="s">
        <v>571</v>
      </c>
      <c r="C117" s="159">
        <f t="shared" si="7"/>
        <v>37</v>
      </c>
      <c r="D117" s="164">
        <v>19</v>
      </c>
      <c r="E117" s="164"/>
      <c r="F117" s="164">
        <v>18</v>
      </c>
      <c r="G117" s="164"/>
      <c r="H117" s="164"/>
      <c r="I117" s="164"/>
      <c r="J117" s="164"/>
      <c r="K117" s="56" t="str">
        <f>IF(C117-[1]表二!E701=0,"正确","错误，请检查")</f>
        <v>正确</v>
      </c>
    </row>
    <row r="118" s="34" customFormat="1" ht="20.1" customHeight="1" spans="1:11">
      <c r="A118" s="161">
        <v>21102</v>
      </c>
      <c r="B118" s="52" t="s">
        <v>578</v>
      </c>
      <c r="C118" s="159">
        <f t="shared" si="7"/>
        <v>81</v>
      </c>
      <c r="D118" s="164">
        <v>81</v>
      </c>
      <c r="E118" s="164"/>
      <c r="F118" s="164"/>
      <c r="G118" s="164"/>
      <c r="H118" s="164"/>
      <c r="I118" s="164"/>
      <c r="J118" s="164"/>
      <c r="K118" s="56" t="str">
        <f>IF(C118-[1]表二!E711=0,"正确","错误，请检查")</f>
        <v>正确</v>
      </c>
    </row>
    <row r="119" s="34" customFormat="1" ht="20.1" customHeight="1" spans="1:11">
      <c r="A119" s="161">
        <v>21103</v>
      </c>
      <c r="B119" s="52" t="s">
        <v>582</v>
      </c>
      <c r="C119" s="159">
        <f t="shared" si="7"/>
        <v>41</v>
      </c>
      <c r="D119" s="164"/>
      <c r="E119" s="164"/>
      <c r="F119" s="164">
        <v>41</v>
      </c>
      <c r="G119" s="164"/>
      <c r="H119" s="164"/>
      <c r="I119" s="164"/>
      <c r="J119" s="164"/>
      <c r="K119" s="56" t="str">
        <f>IF(C119-[1]表二!E715=0,"正确","错误，请检查")</f>
        <v>正确</v>
      </c>
    </row>
    <row r="120" s="34" customFormat="1" ht="20.1" customHeight="1" spans="1:11">
      <c r="A120" s="161">
        <v>21104</v>
      </c>
      <c r="B120" s="52" t="s">
        <v>591</v>
      </c>
      <c r="C120" s="159">
        <f t="shared" si="7"/>
        <v>5268</v>
      </c>
      <c r="D120" s="164">
        <v>2403</v>
      </c>
      <c r="E120" s="164"/>
      <c r="F120" s="164">
        <f>2868-3</f>
        <v>2865</v>
      </c>
      <c r="G120" s="164"/>
      <c r="H120" s="164"/>
      <c r="I120" s="164"/>
      <c r="J120" s="164"/>
      <c r="K120" s="56" t="str">
        <f>IF(C120-[1]表二!E724=0,"正确","错误，请检查")</f>
        <v>正确</v>
      </c>
    </row>
    <row r="121" s="34" customFormat="1" ht="20.1" customHeight="1" spans="1:11">
      <c r="A121" s="161">
        <v>21105</v>
      </c>
      <c r="B121" s="52" t="s">
        <v>598</v>
      </c>
      <c r="C121" s="159">
        <f t="shared" si="7"/>
        <v>3</v>
      </c>
      <c r="D121" s="164">
        <v>3</v>
      </c>
      <c r="E121" s="164"/>
      <c r="F121" s="164"/>
      <c r="G121" s="164"/>
      <c r="H121" s="164"/>
      <c r="I121" s="164"/>
      <c r="J121" s="164"/>
      <c r="K121" s="56" t="str">
        <f>IF(C121-[1]表二!E731=0,"正确","错误，请检查")</f>
        <v>正确</v>
      </c>
    </row>
    <row r="122" s="34" customFormat="1" ht="20.1" customHeight="1" spans="1:11">
      <c r="A122" s="161">
        <v>21106</v>
      </c>
      <c r="B122" s="52" t="s">
        <v>605</v>
      </c>
      <c r="C122" s="159">
        <f t="shared" si="7"/>
        <v>1</v>
      </c>
      <c r="D122" s="164"/>
      <c r="E122" s="164"/>
      <c r="F122" s="164">
        <v>1</v>
      </c>
      <c r="G122" s="164"/>
      <c r="H122" s="164"/>
      <c r="I122" s="164"/>
      <c r="J122" s="164"/>
      <c r="K122" s="56" t="str">
        <f>IF(C122-[1]表二!E738=0,"正确","错误，请检查")</f>
        <v>正确</v>
      </c>
    </row>
    <row r="123" s="34" customFormat="1" ht="20.1" customHeight="1" spans="1:11">
      <c r="A123" s="161">
        <v>21107</v>
      </c>
      <c r="B123" s="52" t="s">
        <v>611</v>
      </c>
      <c r="C123" s="159">
        <f t="shared" si="7"/>
        <v>0</v>
      </c>
      <c r="D123" s="164"/>
      <c r="E123" s="164"/>
      <c r="F123" s="164"/>
      <c r="G123" s="164"/>
      <c r="H123" s="164"/>
      <c r="I123" s="164"/>
      <c r="J123" s="164"/>
      <c r="K123" s="56" t="str">
        <f>IF(C123-[1]表二!E744=0,"正确","错误，请检查")</f>
        <v>正确</v>
      </c>
    </row>
    <row r="124" s="34" customFormat="1" ht="20.1" customHeight="1" spans="1:11">
      <c r="A124" s="161">
        <v>21108</v>
      </c>
      <c r="B124" s="52" t="s">
        <v>614</v>
      </c>
      <c r="C124" s="159">
        <f t="shared" si="7"/>
        <v>0</v>
      </c>
      <c r="D124" s="164"/>
      <c r="E124" s="164"/>
      <c r="F124" s="164"/>
      <c r="G124" s="164"/>
      <c r="H124" s="164"/>
      <c r="I124" s="164"/>
      <c r="J124" s="164"/>
      <c r="K124" s="56" t="str">
        <f>IF(C124-[1]表二!E747=0,"正确","错误，请检查")</f>
        <v>正确</v>
      </c>
    </row>
    <row r="125" s="34" customFormat="1" ht="20.1" customHeight="1" spans="1:11">
      <c r="A125" s="161">
        <v>21109</v>
      </c>
      <c r="B125" s="52" t="s">
        <v>617</v>
      </c>
      <c r="C125" s="159">
        <f t="shared" si="7"/>
        <v>0</v>
      </c>
      <c r="D125" s="164"/>
      <c r="E125" s="164"/>
      <c r="F125" s="164"/>
      <c r="G125" s="164"/>
      <c r="H125" s="164"/>
      <c r="I125" s="164"/>
      <c r="J125" s="164"/>
      <c r="K125" s="56" t="str">
        <f>IF(C125-[1]表二!E750=0,"正确","错误，请检查")</f>
        <v>正确</v>
      </c>
    </row>
    <row r="126" s="34" customFormat="1" ht="20.1" customHeight="1" spans="1:11">
      <c r="A126" s="161">
        <v>21110</v>
      </c>
      <c r="B126" s="52" t="s">
        <v>618</v>
      </c>
      <c r="C126" s="159">
        <f t="shared" si="7"/>
        <v>0</v>
      </c>
      <c r="D126" s="164"/>
      <c r="E126" s="164"/>
      <c r="F126" s="164"/>
      <c r="G126" s="164"/>
      <c r="H126" s="164"/>
      <c r="I126" s="164"/>
      <c r="J126" s="164"/>
      <c r="K126" s="56" t="str">
        <f>IF(C126-[1]表二!E751=0,"正确","错误，请检查")</f>
        <v>正确</v>
      </c>
    </row>
    <row r="127" s="34" customFormat="1" ht="20.1" customHeight="1" spans="1:11">
      <c r="A127" s="161">
        <v>21111</v>
      </c>
      <c r="B127" s="52" t="s">
        <v>619</v>
      </c>
      <c r="C127" s="159">
        <f t="shared" si="7"/>
        <v>0</v>
      </c>
      <c r="D127" s="164"/>
      <c r="E127" s="164"/>
      <c r="F127" s="164"/>
      <c r="G127" s="164"/>
      <c r="H127" s="164"/>
      <c r="I127" s="164"/>
      <c r="J127" s="164"/>
      <c r="K127" s="56" t="str">
        <f>IF(C127-[1]表二!E752=0,"正确","错误，请检查")</f>
        <v>正确</v>
      </c>
    </row>
    <row r="128" s="34" customFormat="1" ht="20.1" customHeight="1" spans="1:11">
      <c r="A128" s="161">
        <v>21112</v>
      </c>
      <c r="B128" s="52" t="s">
        <v>625</v>
      </c>
      <c r="C128" s="159">
        <f t="shared" si="7"/>
        <v>0</v>
      </c>
      <c r="D128" s="164"/>
      <c r="E128" s="164"/>
      <c r="F128" s="164"/>
      <c r="G128" s="164"/>
      <c r="H128" s="164"/>
      <c r="I128" s="164"/>
      <c r="J128" s="164"/>
      <c r="K128" s="56" t="str">
        <f>IF(C128-[1]表二!E758=0,"正确","错误，请检查")</f>
        <v>正确</v>
      </c>
    </row>
    <row r="129" s="34" customFormat="1" ht="20.1" customHeight="1" spans="1:11">
      <c r="A129" s="161">
        <v>21113</v>
      </c>
      <c r="B129" s="52" t="s">
        <v>626</v>
      </c>
      <c r="C129" s="159">
        <f t="shared" si="7"/>
        <v>0</v>
      </c>
      <c r="D129" s="164"/>
      <c r="E129" s="164"/>
      <c r="F129" s="164"/>
      <c r="G129" s="164"/>
      <c r="H129" s="164"/>
      <c r="I129" s="164"/>
      <c r="J129" s="164"/>
      <c r="K129" s="56" t="str">
        <f>IF(C129-[1]表二!E759=0,"正确","错误，请检查")</f>
        <v>正确</v>
      </c>
    </row>
    <row r="130" s="34" customFormat="1" ht="20.1" customHeight="1" spans="1:11">
      <c r="A130" s="161">
        <v>21114</v>
      </c>
      <c r="B130" s="52" t="s">
        <v>627</v>
      </c>
      <c r="C130" s="159">
        <f t="shared" si="7"/>
        <v>0</v>
      </c>
      <c r="D130" s="164"/>
      <c r="E130" s="164"/>
      <c r="F130" s="164"/>
      <c r="G130" s="164"/>
      <c r="H130" s="164"/>
      <c r="I130" s="164"/>
      <c r="J130" s="164"/>
      <c r="K130" s="56" t="str">
        <f>IF(C130-[1]表二!E760=0,"正确","错误，请检查")</f>
        <v>正确</v>
      </c>
    </row>
    <row r="131" s="34" customFormat="1" ht="20.1" customHeight="1" spans="1:11">
      <c r="A131" s="161">
        <v>21199</v>
      </c>
      <c r="B131" s="52" t="s">
        <v>633</v>
      </c>
      <c r="C131" s="159">
        <f t="shared" si="7"/>
        <v>18</v>
      </c>
      <c r="D131" s="164"/>
      <c r="E131" s="164"/>
      <c r="F131" s="164">
        <v>18</v>
      </c>
      <c r="G131" s="164"/>
      <c r="H131" s="164"/>
      <c r="I131" s="164"/>
      <c r="J131" s="164"/>
      <c r="K131" s="56" t="str">
        <f>IF(C131-[1]表二!E771=0,"正确","错误，请检查")</f>
        <v>正确</v>
      </c>
    </row>
    <row r="132" s="34" customFormat="1" ht="20.1" customHeight="1" spans="1:11">
      <c r="A132" s="161">
        <v>212</v>
      </c>
      <c r="B132" s="52" t="s">
        <v>634</v>
      </c>
      <c r="C132" s="159">
        <f t="shared" si="7"/>
        <v>4497</v>
      </c>
      <c r="D132" s="153">
        <f t="shared" ref="D132:J132" si="12">SUM(D133:D138)</f>
        <v>2798</v>
      </c>
      <c r="E132" s="153">
        <f t="shared" si="12"/>
        <v>0</v>
      </c>
      <c r="F132" s="153">
        <f t="shared" si="12"/>
        <v>1699</v>
      </c>
      <c r="G132" s="153">
        <f t="shared" si="12"/>
        <v>0</v>
      </c>
      <c r="H132" s="153">
        <f t="shared" si="12"/>
        <v>0</v>
      </c>
      <c r="I132" s="153">
        <f t="shared" si="12"/>
        <v>0</v>
      </c>
      <c r="J132" s="153">
        <f t="shared" si="12"/>
        <v>0</v>
      </c>
      <c r="K132" s="56" t="str">
        <f>IF(C132-[1]表二!E772=0,"正确","错误，请检查")</f>
        <v>正确</v>
      </c>
    </row>
    <row r="133" s="34" customFormat="1" ht="20.1" customHeight="1" spans="1:11">
      <c r="A133" s="161">
        <v>21201</v>
      </c>
      <c r="B133" s="52" t="s">
        <v>635</v>
      </c>
      <c r="C133" s="159">
        <f t="shared" si="7"/>
        <v>1214</v>
      </c>
      <c r="D133" s="164">
        <v>1214</v>
      </c>
      <c r="E133" s="164"/>
      <c r="F133" s="164"/>
      <c r="G133" s="164"/>
      <c r="H133" s="164"/>
      <c r="I133" s="164"/>
      <c r="J133" s="164"/>
      <c r="K133" s="56" t="str">
        <f>IF(C133-[1]表二!E773=0,"正确","错误，请检查")</f>
        <v>正确</v>
      </c>
    </row>
    <row r="134" s="34" customFormat="1" ht="20.1" customHeight="1" spans="1:11">
      <c r="A134" s="161">
        <v>21202</v>
      </c>
      <c r="B134" s="52" t="s">
        <v>643</v>
      </c>
      <c r="C134" s="159">
        <f t="shared" ref="C134:C197" si="13">SUM(D134:I134)</f>
        <v>0</v>
      </c>
      <c r="D134" s="164"/>
      <c r="E134" s="164"/>
      <c r="F134" s="164"/>
      <c r="G134" s="164"/>
      <c r="H134" s="164"/>
      <c r="I134" s="164"/>
      <c r="J134" s="164"/>
      <c r="K134" s="56" t="str">
        <f>IF(C134-[1]表二!E784=0,"正确","错误，请检查")</f>
        <v>正确</v>
      </c>
    </row>
    <row r="135" s="34" customFormat="1" ht="20.1" customHeight="1" spans="1:11">
      <c r="A135" s="161">
        <v>21203</v>
      </c>
      <c r="B135" s="52" t="s">
        <v>644</v>
      </c>
      <c r="C135" s="159">
        <f t="shared" si="13"/>
        <v>2600</v>
      </c>
      <c r="D135" s="164">
        <v>1352</v>
      </c>
      <c r="E135" s="164"/>
      <c r="F135" s="164">
        <v>1248</v>
      </c>
      <c r="G135" s="164"/>
      <c r="H135" s="164"/>
      <c r="I135" s="164"/>
      <c r="J135" s="164"/>
      <c r="K135" s="56" t="str">
        <f>IF(C135-[1]表二!E785=0,"正确","错误，请检查")</f>
        <v>正确</v>
      </c>
    </row>
    <row r="136" s="34" customFormat="1" ht="20.1" customHeight="1" spans="1:11">
      <c r="A136" s="161">
        <v>21205</v>
      </c>
      <c r="B136" s="52" t="s">
        <v>647</v>
      </c>
      <c r="C136" s="159">
        <f t="shared" si="13"/>
        <v>559</v>
      </c>
      <c r="D136" s="164">
        <v>232</v>
      </c>
      <c r="E136" s="164"/>
      <c r="F136" s="164">
        <v>327</v>
      </c>
      <c r="G136" s="164"/>
      <c r="H136" s="164"/>
      <c r="I136" s="164"/>
      <c r="J136" s="164"/>
      <c r="K136" s="56" t="str">
        <f>IF(C136-[1]表二!E788=0,"正确","错误，请检查")</f>
        <v>正确</v>
      </c>
    </row>
    <row r="137" s="34" customFormat="1" ht="20.1" customHeight="1" spans="1:11">
      <c r="A137" s="161">
        <v>21206</v>
      </c>
      <c r="B137" s="52" t="s">
        <v>648</v>
      </c>
      <c r="C137" s="159">
        <f t="shared" si="13"/>
        <v>0</v>
      </c>
      <c r="D137" s="164"/>
      <c r="E137" s="164"/>
      <c r="F137" s="164"/>
      <c r="G137" s="164"/>
      <c r="H137" s="164"/>
      <c r="I137" s="164"/>
      <c r="J137" s="164"/>
      <c r="K137" s="56" t="str">
        <f>IF(C137-[1]表二!E789=0,"正确","错误，请检查")</f>
        <v>正确</v>
      </c>
    </row>
    <row r="138" s="34" customFormat="1" ht="20.1" customHeight="1" spans="1:11">
      <c r="A138" s="50">
        <v>21299</v>
      </c>
      <c r="B138" s="52" t="s">
        <v>649</v>
      </c>
      <c r="C138" s="159">
        <f t="shared" si="13"/>
        <v>124</v>
      </c>
      <c r="D138" s="164"/>
      <c r="E138" s="164"/>
      <c r="F138" s="164">
        <v>124</v>
      </c>
      <c r="G138" s="164"/>
      <c r="H138" s="164"/>
      <c r="I138" s="164"/>
      <c r="J138" s="164"/>
      <c r="K138" s="56" t="str">
        <f>IF(C138-[1]表二!E790=0,"正确","错误，请检查")</f>
        <v>正确</v>
      </c>
    </row>
    <row r="139" s="34" customFormat="1" ht="20.1" customHeight="1" spans="1:11">
      <c r="A139" s="161">
        <v>213</v>
      </c>
      <c r="B139" s="52" t="s">
        <v>650</v>
      </c>
      <c r="C139" s="159">
        <f t="shared" si="13"/>
        <v>42819</v>
      </c>
      <c r="D139" s="153">
        <f t="shared" ref="D139:J139" si="14">SUM(D140:D147)</f>
        <v>28006</v>
      </c>
      <c r="E139" s="153">
        <f t="shared" si="14"/>
        <v>5515</v>
      </c>
      <c r="F139" s="153">
        <f t="shared" si="14"/>
        <v>9298</v>
      </c>
      <c r="G139" s="153">
        <f t="shared" si="14"/>
        <v>0</v>
      </c>
      <c r="H139" s="153">
        <f t="shared" si="14"/>
        <v>0</v>
      </c>
      <c r="I139" s="153">
        <f t="shared" si="14"/>
        <v>0</v>
      </c>
      <c r="J139" s="153">
        <f t="shared" si="14"/>
        <v>0</v>
      </c>
      <c r="K139" s="56" t="str">
        <f>IF(C139-[1]表二!E791=0,"正确","错误，请检查")</f>
        <v>正确</v>
      </c>
    </row>
    <row r="140" s="34" customFormat="1" ht="20.1" customHeight="1" spans="1:11">
      <c r="A140" s="161">
        <v>21301</v>
      </c>
      <c r="B140" s="52" t="s">
        <v>651</v>
      </c>
      <c r="C140" s="159">
        <f t="shared" si="13"/>
        <v>8980</v>
      </c>
      <c r="D140" s="164">
        <v>3993</v>
      </c>
      <c r="E140" s="164">
        <v>1979</v>
      </c>
      <c r="F140" s="164">
        <v>3008</v>
      </c>
      <c r="G140" s="164"/>
      <c r="H140" s="164"/>
      <c r="I140" s="164"/>
      <c r="J140" s="164"/>
      <c r="K140" s="56" t="str">
        <f>IF(C140-[1]表二!E792=0,"正确","错误，请检查")</f>
        <v>正确</v>
      </c>
    </row>
    <row r="141" s="34" customFormat="1" ht="20.1" customHeight="1" spans="1:11">
      <c r="A141" s="161">
        <v>21302</v>
      </c>
      <c r="B141" s="52" t="s">
        <v>673</v>
      </c>
      <c r="C141" s="159">
        <f t="shared" si="13"/>
        <v>5959</v>
      </c>
      <c r="D141" s="164">
        <f>4666-E141</f>
        <v>4238</v>
      </c>
      <c r="E141" s="164">
        <v>428</v>
      </c>
      <c r="F141" s="164">
        <v>1293</v>
      </c>
      <c r="G141" s="164"/>
      <c r="H141" s="164"/>
      <c r="I141" s="164"/>
      <c r="J141" s="164"/>
      <c r="K141" s="56" t="str">
        <f>IF(C141-[1]表二!E818=0,"正确","错误，请检查")</f>
        <v>正确</v>
      </c>
    </row>
    <row r="142" s="34" customFormat="1" ht="20.1" customHeight="1" spans="1:11">
      <c r="A142" s="161">
        <v>21303</v>
      </c>
      <c r="B142" s="52" t="s">
        <v>691</v>
      </c>
      <c r="C142" s="159">
        <f t="shared" si="13"/>
        <v>8027</v>
      </c>
      <c r="D142" s="164">
        <v>6416</v>
      </c>
      <c r="E142" s="164"/>
      <c r="F142" s="164">
        <v>1611</v>
      </c>
      <c r="G142" s="164"/>
      <c r="H142" s="164"/>
      <c r="I142" s="164"/>
      <c r="J142" s="164"/>
      <c r="K142" s="56" t="str">
        <f>IF(C142-[1]表二!E840=0,"正确","错误，请检查")</f>
        <v>正确</v>
      </c>
    </row>
    <row r="143" s="34" customFormat="1" ht="20.1" customHeight="1" spans="1:11">
      <c r="A143" s="161">
        <v>21305</v>
      </c>
      <c r="B143" s="52" t="s">
        <v>715</v>
      </c>
      <c r="C143" s="159">
        <f t="shared" si="13"/>
        <v>14863</v>
      </c>
      <c r="D143" s="164">
        <v>12509</v>
      </c>
      <c r="E143" s="164"/>
      <c r="F143" s="164">
        <v>2354</v>
      </c>
      <c r="G143" s="164"/>
      <c r="H143" s="164"/>
      <c r="I143" s="164"/>
      <c r="J143" s="164"/>
      <c r="K143" s="56" t="str">
        <f>IF(C143-[1]表二!E868=0,"正确","错误，请检查")</f>
        <v>正确</v>
      </c>
    </row>
    <row r="144" s="34" customFormat="1" ht="20.1" customHeight="1" spans="1:11">
      <c r="A144" s="161">
        <v>21307</v>
      </c>
      <c r="B144" s="52" t="s">
        <v>722</v>
      </c>
      <c r="C144" s="159">
        <f t="shared" si="13"/>
        <v>2713</v>
      </c>
      <c r="D144" s="164">
        <f>2273-E144</f>
        <v>32</v>
      </c>
      <c r="E144" s="164">
        <v>2241</v>
      </c>
      <c r="F144" s="164">
        <v>440</v>
      </c>
      <c r="G144" s="164"/>
      <c r="H144" s="164"/>
      <c r="I144" s="164"/>
      <c r="J144" s="164"/>
      <c r="K144" s="56" t="str">
        <f>IF(C144-[1]表二!E879=0,"正确","错误，请检查")</f>
        <v>正确</v>
      </c>
    </row>
    <row r="145" s="34" customFormat="1" ht="20.1" customHeight="1" spans="1:11">
      <c r="A145" s="161">
        <v>21308</v>
      </c>
      <c r="B145" s="52" t="s">
        <v>729</v>
      </c>
      <c r="C145" s="159">
        <f t="shared" si="13"/>
        <v>2095</v>
      </c>
      <c r="D145" s="164">
        <f>1505-E145</f>
        <v>818</v>
      </c>
      <c r="E145" s="164">
        <f>32+655</f>
        <v>687</v>
      </c>
      <c r="F145" s="164">
        <v>590</v>
      </c>
      <c r="G145" s="164"/>
      <c r="H145" s="164"/>
      <c r="I145" s="164"/>
      <c r="J145" s="164"/>
      <c r="K145" s="56" t="str">
        <f>IF(C145-[1]表二!E886=0,"正确","错误，请检查")</f>
        <v>正确</v>
      </c>
    </row>
    <row r="146" s="34" customFormat="1" ht="20.1" customHeight="1" spans="1:11">
      <c r="A146" s="161">
        <v>21309</v>
      </c>
      <c r="B146" s="52" t="s">
        <v>735</v>
      </c>
      <c r="C146" s="159">
        <f t="shared" si="13"/>
        <v>2</v>
      </c>
      <c r="D146" s="164"/>
      <c r="E146" s="164"/>
      <c r="F146" s="164">
        <v>2</v>
      </c>
      <c r="G146" s="164"/>
      <c r="H146" s="164"/>
      <c r="I146" s="164"/>
      <c r="J146" s="164"/>
      <c r="K146" s="56" t="str">
        <f>IF(C146-[1]表二!E892=0,"正确","错误，请检查")</f>
        <v>正确</v>
      </c>
    </row>
    <row r="147" s="34" customFormat="1" ht="20.1" customHeight="1" spans="1:11">
      <c r="A147" s="161">
        <v>21399</v>
      </c>
      <c r="B147" s="52" t="s">
        <v>738</v>
      </c>
      <c r="C147" s="159">
        <f t="shared" si="13"/>
        <v>180</v>
      </c>
      <c r="D147" s="164"/>
      <c r="E147" s="164">
        <v>180</v>
      </c>
      <c r="F147" s="164"/>
      <c r="G147" s="164"/>
      <c r="H147" s="164"/>
      <c r="I147" s="164"/>
      <c r="J147" s="164"/>
      <c r="K147" s="56" t="str">
        <f>IF(C147-[1]表二!E895=0,"正确","错误，请检查")</f>
        <v>正确</v>
      </c>
    </row>
    <row r="148" s="34" customFormat="1" ht="20.1" customHeight="1" spans="1:11">
      <c r="A148" s="161">
        <v>214</v>
      </c>
      <c r="B148" s="52" t="s">
        <v>741</v>
      </c>
      <c r="C148" s="159">
        <f t="shared" si="13"/>
        <v>1767</v>
      </c>
      <c r="D148" s="153">
        <f t="shared" ref="D148:J148" si="15">SUM(D149:D154)</f>
        <v>1767</v>
      </c>
      <c r="E148" s="153">
        <f t="shared" si="15"/>
        <v>0</v>
      </c>
      <c r="F148" s="153">
        <f t="shared" si="15"/>
        <v>0</v>
      </c>
      <c r="G148" s="153">
        <f t="shared" si="15"/>
        <v>0</v>
      </c>
      <c r="H148" s="153">
        <f t="shared" si="15"/>
        <v>0</v>
      </c>
      <c r="I148" s="153">
        <f t="shared" si="15"/>
        <v>0</v>
      </c>
      <c r="J148" s="153">
        <f t="shared" si="15"/>
        <v>0</v>
      </c>
      <c r="K148" s="56" t="str">
        <f>IF(C148-[1]表二!E898=0,"正确","错误，请检查")</f>
        <v>正确</v>
      </c>
    </row>
    <row r="149" s="34" customFormat="1" ht="20.1" customHeight="1" spans="1:11">
      <c r="A149" s="161">
        <v>21401</v>
      </c>
      <c r="B149" s="52" t="s">
        <v>742</v>
      </c>
      <c r="C149" s="159">
        <f t="shared" si="13"/>
        <v>1767</v>
      </c>
      <c r="D149" s="164">
        <v>1767</v>
      </c>
      <c r="E149" s="164"/>
      <c r="F149" s="164"/>
      <c r="G149" s="164"/>
      <c r="H149" s="164"/>
      <c r="I149" s="164"/>
      <c r="J149" s="164"/>
      <c r="K149" s="56" t="str">
        <f>IF(C149-[1]表二!E899=0,"正确","错误，请检查")</f>
        <v>正确</v>
      </c>
    </row>
    <row r="150" s="34" customFormat="1" ht="20.1" customHeight="1" spans="1:11">
      <c r="A150" s="161">
        <v>21402</v>
      </c>
      <c r="B150" s="52" t="s">
        <v>761</v>
      </c>
      <c r="C150" s="159">
        <f t="shared" si="13"/>
        <v>0</v>
      </c>
      <c r="D150" s="164"/>
      <c r="E150" s="164"/>
      <c r="F150" s="164"/>
      <c r="G150" s="164"/>
      <c r="H150" s="164"/>
      <c r="I150" s="164"/>
      <c r="J150" s="164"/>
      <c r="K150" s="56" t="str">
        <f>IF(C150-[1]表二!E921=0,"正确","错误，请检查")</f>
        <v>正确</v>
      </c>
    </row>
    <row r="151" s="34" customFormat="1" ht="20.1" customHeight="1" spans="1:11">
      <c r="A151" s="161">
        <v>21403</v>
      </c>
      <c r="B151" s="52" t="s">
        <v>768</v>
      </c>
      <c r="C151" s="159">
        <f t="shared" si="13"/>
        <v>0</v>
      </c>
      <c r="D151" s="164"/>
      <c r="E151" s="164"/>
      <c r="F151" s="164"/>
      <c r="G151" s="164"/>
      <c r="H151" s="164"/>
      <c r="I151" s="164"/>
      <c r="J151" s="164"/>
      <c r="K151" s="56" t="str">
        <f>IF(C151-[1]表二!E931=0,"正确","错误，请检查")</f>
        <v>正确</v>
      </c>
    </row>
    <row r="152" s="34" customFormat="1" ht="20.1" customHeight="1" spans="1:11">
      <c r="A152" s="161">
        <v>21405</v>
      </c>
      <c r="B152" s="52" t="s">
        <v>775</v>
      </c>
      <c r="C152" s="159">
        <f t="shared" si="13"/>
        <v>0</v>
      </c>
      <c r="D152" s="164"/>
      <c r="E152" s="164"/>
      <c r="F152" s="164"/>
      <c r="G152" s="164"/>
      <c r="H152" s="164"/>
      <c r="I152" s="164"/>
      <c r="J152" s="164"/>
      <c r="K152" s="56" t="str">
        <f>IF(C152-[1]表二!E941=0,"正确","错误，请检查")</f>
        <v>正确</v>
      </c>
    </row>
    <row r="153" s="34" customFormat="1" ht="20.1" customHeight="1" spans="1:11">
      <c r="A153" s="161">
        <v>21406</v>
      </c>
      <c r="B153" s="52" t="s">
        <v>778</v>
      </c>
      <c r="C153" s="159">
        <f t="shared" si="13"/>
        <v>0</v>
      </c>
      <c r="D153" s="164"/>
      <c r="E153" s="164"/>
      <c r="F153" s="164"/>
      <c r="G153" s="164"/>
      <c r="H153" s="164"/>
      <c r="I153" s="164"/>
      <c r="J153" s="164"/>
      <c r="K153" s="56" t="str">
        <f>IF(C153-[1]表二!E948=0,"正确","错误，请检查")</f>
        <v>正确</v>
      </c>
    </row>
    <row r="154" s="34" customFormat="1" ht="20.1" customHeight="1" spans="1:11">
      <c r="A154" s="161">
        <v>21499</v>
      </c>
      <c r="B154" s="52" t="s">
        <v>783</v>
      </c>
      <c r="C154" s="159">
        <f t="shared" si="13"/>
        <v>0</v>
      </c>
      <c r="D154" s="164"/>
      <c r="E154" s="164"/>
      <c r="F154" s="164"/>
      <c r="G154" s="164"/>
      <c r="H154" s="164"/>
      <c r="I154" s="164"/>
      <c r="J154" s="164"/>
      <c r="K154" s="56" t="str">
        <f>IF(C154-[1]表二!E953=0,"正确","错误，请检查")</f>
        <v>正确</v>
      </c>
    </row>
    <row r="155" s="34" customFormat="1" ht="20.1" customHeight="1" spans="1:11">
      <c r="A155" s="161">
        <v>215</v>
      </c>
      <c r="B155" s="52" t="s">
        <v>786</v>
      </c>
      <c r="C155" s="159">
        <f t="shared" si="13"/>
        <v>294</v>
      </c>
      <c r="D155" s="153">
        <f t="shared" ref="D155:J155" si="16">SUM(D156:D162)</f>
        <v>294</v>
      </c>
      <c r="E155" s="153">
        <f t="shared" si="16"/>
        <v>0</v>
      </c>
      <c r="F155" s="153">
        <f t="shared" si="16"/>
        <v>0</v>
      </c>
      <c r="G155" s="153">
        <f t="shared" si="16"/>
        <v>0</v>
      </c>
      <c r="H155" s="153">
        <f t="shared" si="16"/>
        <v>0</v>
      </c>
      <c r="I155" s="153">
        <f t="shared" si="16"/>
        <v>0</v>
      </c>
      <c r="J155" s="153">
        <f t="shared" si="16"/>
        <v>0</v>
      </c>
      <c r="K155" s="56" t="str">
        <f>IF(C155-[1]表二!E956=0,"正确","错误，请检查")</f>
        <v>正确</v>
      </c>
    </row>
    <row r="156" s="34" customFormat="1" ht="20.1" customHeight="1" spans="1:11">
      <c r="A156" s="161">
        <v>21501</v>
      </c>
      <c r="B156" s="52" t="s">
        <v>787</v>
      </c>
      <c r="C156" s="159">
        <f t="shared" si="13"/>
        <v>0</v>
      </c>
      <c r="D156" s="164"/>
      <c r="E156" s="164"/>
      <c r="F156" s="164"/>
      <c r="G156" s="164"/>
      <c r="H156" s="164"/>
      <c r="I156" s="164"/>
      <c r="J156" s="164"/>
      <c r="K156" s="56" t="str">
        <f>IF(C156-[1]表二!E957=0,"正确","错误，请检查")</f>
        <v>正确</v>
      </c>
    </row>
    <row r="157" s="34" customFormat="1" ht="20.1" customHeight="1" spans="1:11">
      <c r="A157" s="161">
        <v>21502</v>
      </c>
      <c r="B157" s="52" t="s">
        <v>794</v>
      </c>
      <c r="C157" s="159">
        <f t="shared" si="13"/>
        <v>0</v>
      </c>
      <c r="D157" s="164"/>
      <c r="E157" s="164"/>
      <c r="F157" s="164"/>
      <c r="G157" s="164"/>
      <c r="H157" s="164"/>
      <c r="I157" s="164"/>
      <c r="J157" s="164"/>
      <c r="K157" s="56" t="str">
        <f>IF(C157-[1]表二!E967=0,"正确","错误，请检查")</f>
        <v>正确</v>
      </c>
    </row>
    <row r="158" s="34" customFormat="1" ht="20.1" customHeight="1" spans="1:11">
      <c r="A158" s="161">
        <v>21503</v>
      </c>
      <c r="B158" s="52" t="s">
        <v>807</v>
      </c>
      <c r="C158" s="159">
        <f t="shared" si="13"/>
        <v>0</v>
      </c>
      <c r="D158" s="164"/>
      <c r="E158" s="164"/>
      <c r="F158" s="164"/>
      <c r="G158" s="164"/>
      <c r="H158" s="164"/>
      <c r="I158" s="164"/>
      <c r="J158" s="164"/>
      <c r="K158" s="56" t="str">
        <f>IF(C158-[1]表二!E983=0,"正确","错误，请检查")</f>
        <v>正确</v>
      </c>
    </row>
    <row r="159" s="34" customFormat="1" ht="20.1" customHeight="1" spans="1:11">
      <c r="A159" s="161">
        <v>21505</v>
      </c>
      <c r="B159" s="52" t="s">
        <v>809</v>
      </c>
      <c r="C159" s="159">
        <f t="shared" si="13"/>
        <v>0</v>
      </c>
      <c r="D159" s="164"/>
      <c r="E159" s="164"/>
      <c r="F159" s="164"/>
      <c r="G159" s="164"/>
      <c r="H159" s="164"/>
      <c r="I159" s="164"/>
      <c r="J159" s="164"/>
      <c r="K159" s="56" t="str">
        <f>IF(C159-[1]表二!E988=0,"正确","错误，请检查")</f>
        <v>正确</v>
      </c>
    </row>
    <row r="160" s="34" customFormat="1" ht="20.1" customHeight="1" spans="1:11">
      <c r="A160" s="161">
        <v>21507</v>
      </c>
      <c r="B160" s="52" t="s">
        <v>816</v>
      </c>
      <c r="C160" s="159">
        <f t="shared" si="13"/>
        <v>0</v>
      </c>
      <c r="D160" s="164"/>
      <c r="E160" s="164"/>
      <c r="F160" s="164"/>
      <c r="G160" s="164"/>
      <c r="H160" s="164"/>
      <c r="I160" s="164"/>
      <c r="J160" s="164"/>
      <c r="K160" s="56" t="str">
        <f>IF(C160-[1]表二!E999=0,"正确","错误，请检查")</f>
        <v>正确</v>
      </c>
    </row>
    <row r="161" s="34" customFormat="1" ht="20.1" customHeight="1" spans="1:11">
      <c r="A161" s="161">
        <v>21508</v>
      </c>
      <c r="B161" s="52" t="s">
        <v>820</v>
      </c>
      <c r="C161" s="159">
        <f t="shared" si="13"/>
        <v>0</v>
      </c>
      <c r="D161" s="164"/>
      <c r="E161" s="164"/>
      <c r="F161" s="164"/>
      <c r="G161" s="164"/>
      <c r="H161" s="164"/>
      <c r="I161" s="164"/>
      <c r="J161" s="164"/>
      <c r="K161" s="56" t="str">
        <f>IF(C161-[1]表二!E1006=0,"正确","错误，请检查")</f>
        <v>正确</v>
      </c>
    </row>
    <row r="162" s="34" customFormat="1" ht="20.1" customHeight="1" spans="1:11">
      <c r="A162" s="161">
        <v>21599</v>
      </c>
      <c r="B162" s="52" t="s">
        <v>825</v>
      </c>
      <c r="C162" s="159">
        <f t="shared" si="13"/>
        <v>294</v>
      </c>
      <c r="D162" s="164">
        <v>294</v>
      </c>
      <c r="E162" s="164"/>
      <c r="F162" s="164"/>
      <c r="G162" s="164"/>
      <c r="H162" s="164"/>
      <c r="I162" s="164"/>
      <c r="J162" s="164"/>
      <c r="K162" s="56" t="str">
        <f>IF(C162-[1]表二!E1014=0,"正确","错误，请检查")</f>
        <v>正确</v>
      </c>
    </row>
    <row r="163" s="34" customFormat="1" ht="20.1" customHeight="1" spans="1:11">
      <c r="A163" s="161">
        <v>216</v>
      </c>
      <c r="B163" s="52" t="s">
        <v>831</v>
      </c>
      <c r="C163" s="159">
        <f t="shared" si="13"/>
        <v>210</v>
      </c>
      <c r="D163" s="153">
        <f t="shared" ref="D163:J163" si="17">SUM(D164:D166)</f>
        <v>190</v>
      </c>
      <c r="E163" s="153">
        <f t="shared" si="17"/>
        <v>0</v>
      </c>
      <c r="F163" s="153">
        <f t="shared" si="17"/>
        <v>20</v>
      </c>
      <c r="G163" s="153">
        <f t="shared" si="17"/>
        <v>0</v>
      </c>
      <c r="H163" s="153">
        <f t="shared" si="17"/>
        <v>0</v>
      </c>
      <c r="I163" s="153">
        <f t="shared" si="17"/>
        <v>0</v>
      </c>
      <c r="J163" s="153">
        <f t="shared" si="17"/>
        <v>0</v>
      </c>
      <c r="K163" s="56" t="str">
        <f>IF(C163-[1]表二!E1020=0,"正确","错误，请检查")</f>
        <v>正确</v>
      </c>
    </row>
    <row r="164" s="34" customFormat="1" ht="20.1" customHeight="1" spans="1:11">
      <c r="A164" s="161">
        <v>21602</v>
      </c>
      <c r="B164" s="52" t="s">
        <v>832</v>
      </c>
      <c r="C164" s="159">
        <f t="shared" si="13"/>
        <v>210</v>
      </c>
      <c r="D164" s="164">
        <v>190</v>
      </c>
      <c r="E164" s="164"/>
      <c r="F164" s="164">
        <v>20</v>
      </c>
      <c r="G164" s="164"/>
      <c r="H164" s="164"/>
      <c r="I164" s="164"/>
      <c r="J164" s="164"/>
      <c r="K164" s="56" t="str">
        <f>IF(C164-[1]表二!E1021=0,"正确","错误，请检查")</f>
        <v>正确</v>
      </c>
    </row>
    <row r="165" s="34" customFormat="1" ht="20.1" customHeight="1" spans="1:11">
      <c r="A165" s="161">
        <v>21606</v>
      </c>
      <c r="B165" s="52" t="s">
        <v>838</v>
      </c>
      <c r="C165" s="159">
        <f t="shared" si="13"/>
        <v>0</v>
      </c>
      <c r="D165" s="164"/>
      <c r="E165" s="164"/>
      <c r="F165" s="164"/>
      <c r="G165" s="164"/>
      <c r="H165" s="164"/>
      <c r="I165" s="164"/>
      <c r="J165" s="164"/>
      <c r="K165" s="56" t="str">
        <f>IF(C165-[1]表二!E1031=0,"正确","错误，请检查")</f>
        <v>正确</v>
      </c>
    </row>
    <row r="166" s="34" customFormat="1" ht="20.1" customHeight="1" spans="1:11">
      <c r="A166" s="161">
        <v>21699</v>
      </c>
      <c r="B166" s="52" t="s">
        <v>841</v>
      </c>
      <c r="C166" s="159">
        <f t="shared" si="13"/>
        <v>0</v>
      </c>
      <c r="D166" s="164"/>
      <c r="E166" s="164"/>
      <c r="F166" s="164"/>
      <c r="G166" s="164"/>
      <c r="H166" s="164"/>
      <c r="I166" s="164"/>
      <c r="J166" s="164"/>
      <c r="K166" s="56" t="str">
        <f>IF(C166-[1]表二!E1037=0,"正确","错误，请检查")</f>
        <v>正确</v>
      </c>
    </row>
    <row r="167" s="34" customFormat="1" ht="20.1" customHeight="1" spans="1:11">
      <c r="A167" s="161">
        <v>217</v>
      </c>
      <c r="B167" s="52" t="s">
        <v>844</v>
      </c>
      <c r="C167" s="159">
        <f t="shared" si="13"/>
        <v>67</v>
      </c>
      <c r="D167" s="153">
        <f t="shared" ref="D167:J167" si="18">SUM(D168:D172)</f>
        <v>0</v>
      </c>
      <c r="E167" s="153">
        <f t="shared" si="18"/>
        <v>0</v>
      </c>
      <c r="F167" s="153">
        <f t="shared" si="18"/>
        <v>67</v>
      </c>
      <c r="G167" s="153">
        <f t="shared" si="18"/>
        <v>0</v>
      </c>
      <c r="H167" s="153">
        <f t="shared" si="18"/>
        <v>0</v>
      </c>
      <c r="I167" s="153">
        <f t="shared" si="18"/>
        <v>0</v>
      </c>
      <c r="J167" s="153">
        <f t="shared" si="18"/>
        <v>0</v>
      </c>
      <c r="K167" s="56" t="str">
        <f>IF(C167-[1]表二!E1040=0,"正确","错误，请检查")</f>
        <v>正确</v>
      </c>
    </row>
    <row r="168" s="34" customFormat="1" ht="20.1" customHeight="1" spans="1:11">
      <c r="A168" s="161">
        <v>21701</v>
      </c>
      <c r="B168" s="52" t="s">
        <v>845</v>
      </c>
      <c r="C168" s="159">
        <f t="shared" si="13"/>
        <v>0</v>
      </c>
      <c r="D168" s="164"/>
      <c r="E168" s="164"/>
      <c r="F168" s="164"/>
      <c r="G168" s="164"/>
      <c r="H168" s="164"/>
      <c r="I168" s="164"/>
      <c r="J168" s="164"/>
      <c r="K168" s="56" t="str">
        <f>IF(C168-[1]表二!E1041=0,"正确","错误，请检查")</f>
        <v>正确</v>
      </c>
    </row>
    <row r="169" s="34" customFormat="1" ht="20.1" customHeight="1" spans="1:11">
      <c r="A169" s="161">
        <v>21702</v>
      </c>
      <c r="B169" s="52" t="s">
        <v>848</v>
      </c>
      <c r="C169" s="159">
        <f t="shared" si="13"/>
        <v>0</v>
      </c>
      <c r="D169" s="164"/>
      <c r="E169" s="164"/>
      <c r="F169" s="164"/>
      <c r="G169" s="164"/>
      <c r="H169" s="164"/>
      <c r="I169" s="164"/>
      <c r="J169" s="164"/>
      <c r="K169" s="56" t="str">
        <f>IF(C169-[1]表二!E1048=0,"正确","错误，请检查")</f>
        <v>正确</v>
      </c>
    </row>
    <row r="170" s="34" customFormat="1" ht="20.1" customHeight="1" spans="1:11">
      <c r="A170" s="161">
        <v>21703</v>
      </c>
      <c r="B170" s="52" t="s">
        <v>858</v>
      </c>
      <c r="C170" s="159">
        <f t="shared" si="13"/>
        <v>67</v>
      </c>
      <c r="D170" s="164"/>
      <c r="E170" s="164"/>
      <c r="F170" s="164">
        <v>67</v>
      </c>
      <c r="G170" s="164"/>
      <c r="H170" s="164"/>
      <c r="I170" s="164"/>
      <c r="J170" s="164"/>
      <c r="K170" s="56" t="str">
        <f>IF(C170-[1]表二!E1058=0,"正确","错误，请检查")</f>
        <v>正确</v>
      </c>
    </row>
    <row r="171" s="34" customFormat="1" ht="20.1" customHeight="1" spans="1:11">
      <c r="A171" s="161">
        <v>21704</v>
      </c>
      <c r="B171" s="52" t="s">
        <v>864</v>
      </c>
      <c r="C171" s="159">
        <f t="shared" si="13"/>
        <v>0</v>
      </c>
      <c r="D171" s="164"/>
      <c r="E171" s="164"/>
      <c r="F171" s="164"/>
      <c r="G171" s="164"/>
      <c r="H171" s="164"/>
      <c r="I171" s="164"/>
      <c r="J171" s="164"/>
      <c r="K171" s="56" t="str">
        <f>IF(C171-[1]表二!E1064=0,"正确","错误，请检查")</f>
        <v>正确</v>
      </c>
    </row>
    <row r="172" s="34" customFormat="1" ht="20.1" customHeight="1" spans="1:11">
      <c r="A172" s="161">
        <v>21799</v>
      </c>
      <c r="B172" s="52" t="s">
        <v>867</v>
      </c>
      <c r="C172" s="159">
        <f t="shared" si="13"/>
        <v>0</v>
      </c>
      <c r="D172" s="164"/>
      <c r="E172" s="164"/>
      <c r="F172" s="164"/>
      <c r="G172" s="164"/>
      <c r="H172" s="164"/>
      <c r="I172" s="164"/>
      <c r="J172" s="164"/>
      <c r="K172" s="56" t="str">
        <f>IF(C172-[1]表二!E1067=0,"正确","错误，请检查")</f>
        <v>正确</v>
      </c>
    </row>
    <row r="173" s="34" customFormat="1" ht="20.1" customHeight="1" spans="1:11">
      <c r="A173" s="161">
        <v>219</v>
      </c>
      <c r="B173" s="52" t="s">
        <v>870</v>
      </c>
      <c r="C173" s="159">
        <f t="shared" si="13"/>
        <v>0</v>
      </c>
      <c r="D173" s="153">
        <f t="shared" ref="D173:J173" si="19">SUM(D174:D182)</f>
        <v>0</v>
      </c>
      <c r="E173" s="153">
        <f t="shared" si="19"/>
        <v>0</v>
      </c>
      <c r="F173" s="153">
        <f t="shared" si="19"/>
        <v>0</v>
      </c>
      <c r="G173" s="153">
        <f t="shared" si="19"/>
        <v>0</v>
      </c>
      <c r="H173" s="153">
        <f t="shared" si="19"/>
        <v>0</v>
      </c>
      <c r="I173" s="153">
        <f t="shared" si="19"/>
        <v>0</v>
      </c>
      <c r="J173" s="153">
        <f t="shared" si="19"/>
        <v>0</v>
      </c>
      <c r="K173" s="56" t="str">
        <f>IF(C173-[1]表二!E1070=0,"正确","错误，请检查")</f>
        <v>正确</v>
      </c>
    </row>
    <row r="174" s="34" customFormat="1" ht="20.1" customHeight="1" spans="1:11">
      <c r="A174" s="161">
        <v>21901</v>
      </c>
      <c r="B174" s="52" t="s">
        <v>871</v>
      </c>
      <c r="C174" s="159">
        <f t="shared" si="13"/>
        <v>0</v>
      </c>
      <c r="D174" s="164"/>
      <c r="E174" s="164"/>
      <c r="F174" s="164"/>
      <c r="G174" s="164"/>
      <c r="H174" s="164"/>
      <c r="I174" s="164"/>
      <c r="J174" s="164"/>
      <c r="K174" s="56"/>
    </row>
    <row r="175" s="34" customFormat="1" ht="20.1" customHeight="1" spans="1:11">
      <c r="A175" s="161">
        <v>21902</v>
      </c>
      <c r="B175" s="52" t="s">
        <v>872</v>
      </c>
      <c r="C175" s="159">
        <f t="shared" si="13"/>
        <v>0</v>
      </c>
      <c r="D175" s="164"/>
      <c r="E175" s="164"/>
      <c r="F175" s="164"/>
      <c r="G175" s="164"/>
      <c r="H175" s="164"/>
      <c r="I175" s="164"/>
      <c r="J175" s="164"/>
      <c r="K175" s="56"/>
    </row>
    <row r="176" s="34" customFormat="1" ht="20.1" customHeight="1" spans="1:11">
      <c r="A176" s="161">
        <v>21903</v>
      </c>
      <c r="B176" s="52" t="s">
        <v>873</v>
      </c>
      <c r="C176" s="159">
        <f t="shared" si="13"/>
        <v>0</v>
      </c>
      <c r="D176" s="164"/>
      <c r="E176" s="164"/>
      <c r="F176" s="164"/>
      <c r="G176" s="164"/>
      <c r="H176" s="164"/>
      <c r="I176" s="164"/>
      <c r="J176" s="164"/>
      <c r="K176" s="56"/>
    </row>
    <row r="177" s="34" customFormat="1" ht="20.1" customHeight="1" spans="1:11">
      <c r="A177" s="161">
        <v>21904</v>
      </c>
      <c r="B177" s="52" t="s">
        <v>874</v>
      </c>
      <c r="C177" s="159">
        <f t="shared" si="13"/>
        <v>0</v>
      </c>
      <c r="D177" s="164"/>
      <c r="E177" s="164"/>
      <c r="F177" s="164"/>
      <c r="G177" s="164"/>
      <c r="H177" s="164"/>
      <c r="I177" s="164"/>
      <c r="J177" s="164"/>
      <c r="K177" s="56"/>
    </row>
    <row r="178" s="34" customFormat="1" ht="20.1" customHeight="1" spans="1:11">
      <c r="A178" s="161">
        <v>21905</v>
      </c>
      <c r="B178" s="52" t="s">
        <v>875</v>
      </c>
      <c r="C178" s="159">
        <f t="shared" si="13"/>
        <v>0</v>
      </c>
      <c r="D178" s="164"/>
      <c r="E178" s="164"/>
      <c r="F178" s="164"/>
      <c r="G178" s="164"/>
      <c r="H178" s="164"/>
      <c r="I178" s="164"/>
      <c r="J178" s="164"/>
      <c r="K178" s="56"/>
    </row>
    <row r="179" s="34" customFormat="1" ht="20.1" customHeight="1" spans="1:11">
      <c r="A179" s="161">
        <v>21906</v>
      </c>
      <c r="B179" s="52" t="s">
        <v>651</v>
      </c>
      <c r="C179" s="159">
        <f t="shared" si="13"/>
        <v>0</v>
      </c>
      <c r="D179" s="164"/>
      <c r="E179" s="164"/>
      <c r="F179" s="164"/>
      <c r="G179" s="164"/>
      <c r="H179" s="164"/>
      <c r="I179" s="164"/>
      <c r="J179" s="164"/>
      <c r="K179" s="56"/>
    </row>
    <row r="180" s="34" customFormat="1" ht="20.1" customHeight="1" spans="1:11">
      <c r="A180" s="161">
        <v>21907</v>
      </c>
      <c r="B180" s="52" t="s">
        <v>876</v>
      </c>
      <c r="C180" s="159">
        <f t="shared" si="13"/>
        <v>0</v>
      </c>
      <c r="D180" s="164"/>
      <c r="E180" s="164"/>
      <c r="F180" s="164"/>
      <c r="G180" s="164"/>
      <c r="H180" s="164"/>
      <c r="I180" s="164"/>
      <c r="J180" s="164"/>
      <c r="K180" s="56"/>
    </row>
    <row r="181" s="34" customFormat="1" ht="20.1" customHeight="1" spans="1:11">
      <c r="A181" s="161">
        <v>21908</v>
      </c>
      <c r="B181" s="52" t="s">
        <v>877</v>
      </c>
      <c r="C181" s="159">
        <f t="shared" si="13"/>
        <v>0</v>
      </c>
      <c r="D181" s="164"/>
      <c r="E181" s="164"/>
      <c r="F181" s="164"/>
      <c r="G181" s="164"/>
      <c r="H181" s="164"/>
      <c r="I181" s="164"/>
      <c r="J181" s="164"/>
      <c r="K181" s="56"/>
    </row>
    <row r="182" s="34" customFormat="1" ht="20.1" customHeight="1" spans="1:11">
      <c r="A182" s="161">
        <v>21999</v>
      </c>
      <c r="B182" s="52" t="s">
        <v>878</v>
      </c>
      <c r="C182" s="159">
        <f t="shared" si="13"/>
        <v>0</v>
      </c>
      <c r="D182" s="164"/>
      <c r="E182" s="164"/>
      <c r="F182" s="164"/>
      <c r="G182" s="164"/>
      <c r="H182" s="164"/>
      <c r="I182" s="164"/>
      <c r="J182" s="164"/>
      <c r="K182" s="56"/>
    </row>
    <row r="183" s="34" customFormat="1" ht="20.1" customHeight="1" spans="1:11">
      <c r="A183" s="161">
        <v>220</v>
      </c>
      <c r="B183" s="52" t="s">
        <v>879</v>
      </c>
      <c r="C183" s="159">
        <f t="shared" si="13"/>
        <v>1812</v>
      </c>
      <c r="D183" s="153">
        <f t="shared" ref="D183:J183" si="20">SUM(D184:D186)</f>
        <v>1024</v>
      </c>
      <c r="E183" s="153">
        <f t="shared" si="20"/>
        <v>60</v>
      </c>
      <c r="F183" s="153">
        <f t="shared" si="20"/>
        <v>728</v>
      </c>
      <c r="G183" s="153">
        <f t="shared" si="20"/>
        <v>0</v>
      </c>
      <c r="H183" s="153">
        <f t="shared" si="20"/>
        <v>0</v>
      </c>
      <c r="I183" s="153">
        <f t="shared" si="20"/>
        <v>0</v>
      </c>
      <c r="J183" s="153">
        <f t="shared" si="20"/>
        <v>0</v>
      </c>
      <c r="K183" s="56" t="str">
        <f>IF(C183-[1]表二!E1080=0,"正确","错误，请检查")</f>
        <v>正确</v>
      </c>
    </row>
    <row r="184" s="34" customFormat="1" ht="20.1" customHeight="1" spans="1:11">
      <c r="A184" s="161">
        <v>22001</v>
      </c>
      <c r="B184" s="52" t="s">
        <v>880</v>
      </c>
      <c r="C184" s="159">
        <f t="shared" si="13"/>
        <v>1729</v>
      </c>
      <c r="D184" s="164">
        <v>1001</v>
      </c>
      <c r="E184" s="164"/>
      <c r="F184" s="164">
        <v>728</v>
      </c>
      <c r="G184" s="164"/>
      <c r="H184" s="164"/>
      <c r="I184" s="164"/>
      <c r="J184" s="164"/>
      <c r="K184" s="56" t="str">
        <f>IF(C184-[1]表二!E1081=0,"正确","错误，请检查")</f>
        <v>正确</v>
      </c>
    </row>
    <row r="185" s="34" customFormat="1" ht="20.1" customHeight="1" spans="1:11">
      <c r="A185" s="161">
        <v>22005</v>
      </c>
      <c r="B185" s="52" t="s">
        <v>903</v>
      </c>
      <c r="C185" s="159">
        <f t="shared" si="13"/>
        <v>83</v>
      </c>
      <c r="D185" s="164">
        <f>83-E185</f>
        <v>23</v>
      </c>
      <c r="E185" s="164">
        <v>60</v>
      </c>
      <c r="F185" s="164"/>
      <c r="G185" s="164"/>
      <c r="H185" s="164"/>
      <c r="I185" s="164"/>
      <c r="J185" s="164"/>
      <c r="K185" s="56" t="str">
        <f>IF(C185-[1]表二!E1108=0,"正确","错误，请检查")</f>
        <v>正确</v>
      </c>
    </row>
    <row r="186" s="34" customFormat="1" ht="20.1" customHeight="1" spans="1:11">
      <c r="A186" s="161">
        <v>22099</v>
      </c>
      <c r="B186" s="52" t="s">
        <v>915</v>
      </c>
      <c r="C186" s="159">
        <f t="shared" si="13"/>
        <v>0</v>
      </c>
      <c r="D186" s="164"/>
      <c r="E186" s="164"/>
      <c r="F186" s="164"/>
      <c r="G186" s="164"/>
      <c r="H186" s="164"/>
      <c r="I186" s="164"/>
      <c r="J186" s="164"/>
      <c r="K186" s="56" t="str">
        <f>IF(C186-[1]表二!E1123=0,"正确","错误，请检查")</f>
        <v>正确</v>
      </c>
    </row>
    <row r="187" s="34" customFormat="1" ht="20.1" customHeight="1" spans="1:11">
      <c r="A187" s="161">
        <v>221</v>
      </c>
      <c r="B187" s="52" t="s">
        <v>916</v>
      </c>
      <c r="C187" s="159">
        <f t="shared" si="13"/>
        <v>5026</v>
      </c>
      <c r="D187" s="153">
        <f t="shared" ref="D187:J187" si="21">SUM(D188:D190)</f>
        <v>4928</v>
      </c>
      <c r="E187" s="153">
        <f t="shared" si="21"/>
        <v>0</v>
      </c>
      <c r="F187" s="153">
        <f t="shared" si="21"/>
        <v>98</v>
      </c>
      <c r="G187" s="153">
        <f t="shared" si="21"/>
        <v>0</v>
      </c>
      <c r="H187" s="153">
        <f t="shared" si="21"/>
        <v>0</v>
      </c>
      <c r="I187" s="153">
        <f t="shared" si="21"/>
        <v>0</v>
      </c>
      <c r="J187" s="153">
        <f t="shared" si="21"/>
        <v>0</v>
      </c>
      <c r="K187" s="56" t="str">
        <f>IF(C187-[1]表二!E1124=0,"正确","错误，请检查")</f>
        <v>正确</v>
      </c>
    </row>
    <row r="188" s="34" customFormat="1" ht="20.1" customHeight="1" spans="1:11">
      <c r="A188" s="161">
        <v>22101</v>
      </c>
      <c r="B188" s="52" t="s">
        <v>917</v>
      </c>
      <c r="C188" s="159">
        <f t="shared" si="13"/>
        <v>108</v>
      </c>
      <c r="D188" s="164">
        <v>10</v>
      </c>
      <c r="E188" s="164"/>
      <c r="F188" s="164">
        <f>108-10</f>
        <v>98</v>
      </c>
      <c r="G188" s="164"/>
      <c r="H188" s="164"/>
      <c r="I188" s="164"/>
      <c r="J188" s="164"/>
      <c r="K188" s="56" t="str">
        <f>IF(C188-[1]表二!E1125=0,"正确","错误，请检查")</f>
        <v>正确</v>
      </c>
    </row>
    <row r="189" s="34" customFormat="1" ht="20.1" customHeight="1" spans="1:11">
      <c r="A189" s="161">
        <v>22102</v>
      </c>
      <c r="B189" s="52" t="s">
        <v>928</v>
      </c>
      <c r="C189" s="159">
        <f t="shared" si="13"/>
        <v>4918</v>
      </c>
      <c r="D189" s="164">
        <v>4918</v>
      </c>
      <c r="E189" s="164"/>
      <c r="F189" s="164"/>
      <c r="G189" s="164"/>
      <c r="H189" s="164"/>
      <c r="I189" s="164"/>
      <c r="J189" s="164"/>
      <c r="K189" s="56" t="str">
        <f>IF(C189-[1]表二!E1136=0,"正确","错误，请检查")</f>
        <v>正确</v>
      </c>
    </row>
    <row r="190" s="34" customFormat="1" ht="20.1" customHeight="1" spans="1:11">
      <c r="A190" s="161">
        <v>22103</v>
      </c>
      <c r="B190" s="52" t="s">
        <v>932</v>
      </c>
      <c r="C190" s="159">
        <f t="shared" si="13"/>
        <v>0</v>
      </c>
      <c r="D190" s="164"/>
      <c r="E190" s="164"/>
      <c r="F190" s="164"/>
      <c r="G190" s="164"/>
      <c r="H190" s="164"/>
      <c r="I190" s="164"/>
      <c r="J190" s="164"/>
      <c r="K190" s="56" t="str">
        <f>IF(C190-[1]表二!E1140=0,"正确","错误，请检查")</f>
        <v>正确</v>
      </c>
    </row>
    <row r="191" s="34" customFormat="1" ht="20.1" customHeight="1" spans="1:11">
      <c r="A191" s="161">
        <v>222</v>
      </c>
      <c r="B191" s="52" t="s">
        <v>936</v>
      </c>
      <c r="C191" s="159">
        <f t="shared" si="13"/>
        <v>610</v>
      </c>
      <c r="D191" s="153">
        <f t="shared" ref="D191:J191" si="22">SUM(D192:D195)</f>
        <v>320</v>
      </c>
      <c r="E191" s="153">
        <f t="shared" si="22"/>
        <v>0</v>
      </c>
      <c r="F191" s="153">
        <f t="shared" si="22"/>
        <v>290</v>
      </c>
      <c r="G191" s="153">
        <f t="shared" si="22"/>
        <v>0</v>
      </c>
      <c r="H191" s="153">
        <f t="shared" si="22"/>
        <v>0</v>
      </c>
      <c r="I191" s="153">
        <f t="shared" si="22"/>
        <v>0</v>
      </c>
      <c r="J191" s="153">
        <f t="shared" si="22"/>
        <v>0</v>
      </c>
      <c r="K191" s="56" t="str">
        <f>IF(C191-[1]表二!E1144=0,"正确","错误，请检查")</f>
        <v>正确</v>
      </c>
    </row>
    <row r="192" s="34" customFormat="1" ht="20.1" customHeight="1" spans="1:11">
      <c r="A192" s="161">
        <v>22201</v>
      </c>
      <c r="B192" s="52" t="s">
        <v>937</v>
      </c>
      <c r="C192" s="159">
        <f t="shared" si="13"/>
        <v>610</v>
      </c>
      <c r="D192" s="164">
        <v>320</v>
      </c>
      <c r="E192" s="164"/>
      <c r="F192" s="164">
        <v>290</v>
      </c>
      <c r="G192" s="164"/>
      <c r="H192" s="164"/>
      <c r="I192" s="164"/>
      <c r="J192" s="164"/>
      <c r="K192" s="56" t="str">
        <f>IF(C192-[1]表二!E1145=0,"正确","错误，请检查")</f>
        <v>正确</v>
      </c>
    </row>
    <row r="193" s="34" customFormat="1" ht="20.1" customHeight="1" spans="1:11">
      <c r="A193" s="161">
        <v>22203</v>
      </c>
      <c r="B193" s="52" t="s">
        <v>951</v>
      </c>
      <c r="C193" s="159">
        <f t="shared" si="13"/>
        <v>0</v>
      </c>
      <c r="D193" s="164"/>
      <c r="E193" s="164"/>
      <c r="F193" s="164"/>
      <c r="G193" s="164"/>
      <c r="H193" s="164"/>
      <c r="I193" s="164"/>
      <c r="J193" s="164"/>
      <c r="K193" s="56" t="str">
        <f>IF(C193-[1]表二!E1163=0,"正确","错误，请检查")</f>
        <v>正确</v>
      </c>
    </row>
    <row r="194" s="34" customFormat="1" ht="20.1" customHeight="1" spans="1:11">
      <c r="A194" s="161">
        <v>22204</v>
      </c>
      <c r="B194" s="52" t="s">
        <v>957</v>
      </c>
      <c r="C194" s="159">
        <f t="shared" si="13"/>
        <v>0</v>
      </c>
      <c r="D194" s="164"/>
      <c r="E194" s="164"/>
      <c r="F194" s="164"/>
      <c r="G194" s="164"/>
      <c r="H194" s="164"/>
      <c r="I194" s="164"/>
      <c r="J194" s="164"/>
      <c r="K194" s="56" t="str">
        <f>IF(C194-[1]表二!E1169=0,"正确","错误，请检查")</f>
        <v>正确</v>
      </c>
    </row>
    <row r="195" s="34" customFormat="1" ht="20.1" customHeight="1" spans="1:11">
      <c r="A195" s="161">
        <v>22205</v>
      </c>
      <c r="B195" s="52" t="s">
        <v>963</v>
      </c>
      <c r="C195" s="159">
        <f t="shared" si="13"/>
        <v>0</v>
      </c>
      <c r="D195" s="164"/>
      <c r="E195" s="164"/>
      <c r="F195" s="164"/>
      <c r="G195" s="164"/>
      <c r="H195" s="164"/>
      <c r="I195" s="164"/>
      <c r="J195" s="164"/>
      <c r="K195" s="56" t="str">
        <f>IF(C195-[1]表二!E1175=0,"正确","错误，请检查")</f>
        <v>正确</v>
      </c>
    </row>
    <row r="196" s="34" customFormat="1" ht="20.1" customHeight="1" spans="1:11">
      <c r="A196" s="161">
        <v>224</v>
      </c>
      <c r="B196" s="52" t="s">
        <v>976</v>
      </c>
      <c r="C196" s="159">
        <f t="shared" si="13"/>
        <v>3218</v>
      </c>
      <c r="D196" s="153">
        <f t="shared" ref="D196:J196" si="23">SUM(D197:D203)</f>
        <v>660</v>
      </c>
      <c r="E196" s="153">
        <f t="shared" si="23"/>
        <v>206</v>
      </c>
      <c r="F196" s="153">
        <f t="shared" si="23"/>
        <v>2352</v>
      </c>
      <c r="G196" s="153">
        <f t="shared" si="23"/>
        <v>0</v>
      </c>
      <c r="H196" s="153">
        <f t="shared" si="23"/>
        <v>0</v>
      </c>
      <c r="I196" s="153">
        <f t="shared" si="23"/>
        <v>0</v>
      </c>
      <c r="J196" s="153">
        <f t="shared" si="23"/>
        <v>0</v>
      </c>
      <c r="K196" s="56" t="str">
        <f>IF(C196-[1]表二!E1188=0,"正确","错误，请检查")</f>
        <v>正确</v>
      </c>
    </row>
    <row r="197" s="34" customFormat="1" ht="20.1" customHeight="1" spans="1:11">
      <c r="A197" s="161">
        <v>22401</v>
      </c>
      <c r="B197" s="52" t="s">
        <v>977</v>
      </c>
      <c r="C197" s="159">
        <f t="shared" si="13"/>
        <v>375</v>
      </c>
      <c r="D197" s="164">
        <v>339</v>
      </c>
      <c r="E197" s="164"/>
      <c r="F197" s="164">
        <v>36</v>
      </c>
      <c r="G197" s="164"/>
      <c r="H197" s="164"/>
      <c r="I197" s="164"/>
      <c r="J197" s="164"/>
      <c r="K197" s="56" t="str">
        <f>IF(C197-[1]表二!E1189=0,"正确","错误，请检查")</f>
        <v>正确</v>
      </c>
    </row>
    <row r="198" s="34" customFormat="1" ht="20.1" customHeight="1" spans="1:11">
      <c r="A198" s="161">
        <v>22402</v>
      </c>
      <c r="B198" s="52" t="s">
        <v>984</v>
      </c>
      <c r="C198" s="159">
        <f t="shared" ref="C198:C211" si="24">SUM(D198:I198)</f>
        <v>320</v>
      </c>
      <c r="D198" s="164">
        <v>320</v>
      </c>
      <c r="E198" s="164"/>
      <c r="F198" s="164"/>
      <c r="G198" s="164"/>
      <c r="H198" s="164"/>
      <c r="I198" s="164"/>
      <c r="J198" s="164"/>
      <c r="K198" s="56" t="str">
        <f>IF(C198-[1]表二!E1200=0,"正确","错误，请检查")</f>
        <v>正确</v>
      </c>
    </row>
    <row r="199" s="34" customFormat="1" ht="20.1" customHeight="1" spans="1:11">
      <c r="A199" s="161">
        <v>22404</v>
      </c>
      <c r="B199" s="52" t="s">
        <v>987</v>
      </c>
      <c r="C199" s="159">
        <f t="shared" si="24"/>
        <v>0</v>
      </c>
      <c r="D199" s="164"/>
      <c r="E199" s="164"/>
      <c r="F199" s="164"/>
      <c r="G199" s="164"/>
      <c r="H199" s="164"/>
      <c r="I199" s="164"/>
      <c r="J199" s="164"/>
      <c r="K199" s="56" t="str">
        <f>IF(C199-[1]表二!E1206=0,"正确","错误，请检查")</f>
        <v>正确</v>
      </c>
    </row>
    <row r="200" s="34" customFormat="1" ht="20.1" customHeight="1" spans="1:11">
      <c r="A200" s="161">
        <v>22405</v>
      </c>
      <c r="B200" s="52" t="s">
        <v>991</v>
      </c>
      <c r="C200" s="159">
        <f t="shared" si="24"/>
        <v>1</v>
      </c>
      <c r="D200" s="164">
        <v>1</v>
      </c>
      <c r="E200" s="164"/>
      <c r="F200" s="164"/>
      <c r="G200" s="164"/>
      <c r="H200" s="164"/>
      <c r="I200" s="164"/>
      <c r="J200" s="164"/>
      <c r="K200" s="56" t="str">
        <f>IF(C200-[1]表二!E1214=0,"正确","错误，请检查")</f>
        <v>正确</v>
      </c>
    </row>
    <row r="201" s="34" customFormat="1" ht="20.1" customHeight="1" spans="1:11">
      <c r="A201" s="161">
        <v>22406</v>
      </c>
      <c r="B201" s="52" t="s">
        <v>1001</v>
      </c>
      <c r="C201" s="159">
        <f t="shared" si="24"/>
        <v>960</v>
      </c>
      <c r="D201" s="164"/>
      <c r="E201" s="164">
        <v>206</v>
      </c>
      <c r="F201" s="164">
        <v>754</v>
      </c>
      <c r="G201" s="164"/>
      <c r="H201" s="164"/>
      <c r="I201" s="164"/>
      <c r="J201" s="164"/>
      <c r="K201" s="56" t="str">
        <f>IF(C201-[1]表二!E1227=0,"正确","错误，请检查")</f>
        <v>正确</v>
      </c>
    </row>
    <row r="202" s="34" customFormat="1" ht="20.1" customHeight="1" spans="1:11">
      <c r="A202" s="161">
        <v>22407</v>
      </c>
      <c r="B202" s="52" t="s">
        <v>1005</v>
      </c>
      <c r="C202" s="159">
        <f t="shared" si="24"/>
        <v>157</v>
      </c>
      <c r="D202" s="164"/>
      <c r="E202" s="164"/>
      <c r="F202" s="164">
        <v>157</v>
      </c>
      <c r="G202" s="164"/>
      <c r="H202" s="164"/>
      <c r="I202" s="164"/>
      <c r="J202" s="164"/>
      <c r="K202" s="56" t="str">
        <f>IF(C202-[1]表二!E1231=0,"正确","错误，请检查")</f>
        <v>正确</v>
      </c>
    </row>
    <row r="203" s="34" customFormat="1" ht="20.1" customHeight="1" spans="1:11">
      <c r="A203" s="161">
        <v>22499</v>
      </c>
      <c r="B203" s="52" t="s">
        <v>1009</v>
      </c>
      <c r="C203" s="159">
        <f t="shared" si="24"/>
        <v>1405</v>
      </c>
      <c r="D203" s="164"/>
      <c r="E203" s="164"/>
      <c r="F203" s="164">
        <v>1405</v>
      </c>
      <c r="G203" s="164"/>
      <c r="H203" s="164"/>
      <c r="I203" s="164"/>
      <c r="J203" s="164"/>
      <c r="K203" s="56" t="str">
        <f>IF(C203-[1]表二!E1235=0,"正确","错误，请检查")</f>
        <v>正确</v>
      </c>
    </row>
    <row r="204" s="34" customFormat="1" ht="20.1" customHeight="1" spans="1:11">
      <c r="A204" s="161">
        <v>227</v>
      </c>
      <c r="B204" s="52" t="s">
        <v>1010</v>
      </c>
      <c r="C204" s="159">
        <f t="shared" si="24"/>
        <v>1500</v>
      </c>
      <c r="D204" s="164">
        <v>1500</v>
      </c>
      <c r="E204" s="164"/>
      <c r="F204" s="164"/>
      <c r="G204" s="164"/>
      <c r="H204" s="164"/>
      <c r="I204" s="164"/>
      <c r="J204" s="164"/>
      <c r="K204" s="56" t="str">
        <f>IF(C204-[1]表二!E1236=0,"正确","错误，请检查")</f>
        <v>正确</v>
      </c>
    </row>
    <row r="205" s="34" customFormat="1" ht="20.1" customHeight="1" spans="1:11">
      <c r="A205" s="161">
        <v>229</v>
      </c>
      <c r="B205" s="52" t="s">
        <v>1011</v>
      </c>
      <c r="C205" s="159">
        <f t="shared" si="24"/>
        <v>1028</v>
      </c>
      <c r="D205" s="153">
        <f t="shared" ref="D205:J205" si="25">SUM(D206:D207)</f>
        <v>1028</v>
      </c>
      <c r="E205" s="153">
        <f t="shared" si="25"/>
        <v>0</v>
      </c>
      <c r="F205" s="153">
        <f t="shared" si="25"/>
        <v>0</v>
      </c>
      <c r="G205" s="153">
        <f t="shared" si="25"/>
        <v>0</v>
      </c>
      <c r="H205" s="153">
        <f t="shared" si="25"/>
        <v>0</v>
      </c>
      <c r="I205" s="153">
        <f t="shared" si="25"/>
        <v>0</v>
      </c>
      <c r="J205" s="153">
        <f t="shared" si="25"/>
        <v>0</v>
      </c>
      <c r="K205" s="56" t="str">
        <f>IF(C205-[1]表二!E1237=0,"正确","错误，请检查")</f>
        <v>正确</v>
      </c>
    </row>
    <row r="206" s="34" customFormat="1" ht="20.1" customHeight="1" spans="1:11">
      <c r="A206" s="161">
        <v>22902</v>
      </c>
      <c r="B206" s="52" t="s">
        <v>1141</v>
      </c>
      <c r="C206" s="159">
        <f t="shared" si="24"/>
        <v>1014</v>
      </c>
      <c r="D206" s="164">
        <v>1014</v>
      </c>
      <c r="E206" s="164"/>
      <c r="F206" s="164"/>
      <c r="G206" s="164"/>
      <c r="H206" s="164"/>
      <c r="I206" s="164"/>
      <c r="J206" s="164"/>
      <c r="K206" s="56" t="str">
        <f>IF(C206-[1]表二!E1238=0,"正确","错误，请检查")</f>
        <v>正确</v>
      </c>
    </row>
    <row r="207" s="34" customFormat="1" ht="20.1" customHeight="1" spans="1:11">
      <c r="A207" s="161">
        <v>22999</v>
      </c>
      <c r="B207" s="52" t="s">
        <v>1142</v>
      </c>
      <c r="C207" s="159">
        <f t="shared" si="24"/>
        <v>14</v>
      </c>
      <c r="D207" s="164">
        <v>14</v>
      </c>
      <c r="E207" s="164"/>
      <c r="F207" s="164"/>
      <c r="G207" s="164"/>
      <c r="H207" s="164"/>
      <c r="I207" s="164"/>
      <c r="J207" s="164"/>
      <c r="K207" s="56" t="str">
        <f>IF(C207-[1]表二!E1239=0,"正确","错误，请检查")</f>
        <v>正确</v>
      </c>
    </row>
    <row r="208" s="34" customFormat="1" ht="20.1" customHeight="1" spans="1:11">
      <c r="A208" s="161">
        <v>232</v>
      </c>
      <c r="B208" s="52" t="s">
        <v>1013</v>
      </c>
      <c r="C208" s="159">
        <f t="shared" si="24"/>
        <v>3760</v>
      </c>
      <c r="D208" s="153">
        <f t="shared" ref="D208:J208" si="26">SUM(D209)</f>
        <v>3760</v>
      </c>
      <c r="E208" s="153">
        <f t="shared" si="26"/>
        <v>0</v>
      </c>
      <c r="F208" s="153">
        <f t="shared" si="26"/>
        <v>0</v>
      </c>
      <c r="G208" s="153">
        <f t="shared" si="26"/>
        <v>0</v>
      </c>
      <c r="H208" s="153">
        <f t="shared" si="26"/>
        <v>0</v>
      </c>
      <c r="I208" s="153">
        <f t="shared" si="26"/>
        <v>0</v>
      </c>
      <c r="J208" s="153">
        <f t="shared" si="26"/>
        <v>0</v>
      </c>
      <c r="K208" s="56" t="str">
        <f>IF(C208-[1]表二!E1240=0,"正确","错误，请检查")</f>
        <v>正确</v>
      </c>
    </row>
    <row r="209" s="34" customFormat="1" ht="20.1" customHeight="1" spans="1:11">
      <c r="A209" s="161">
        <v>23203</v>
      </c>
      <c r="B209" s="52" t="s">
        <v>1143</v>
      </c>
      <c r="C209" s="159">
        <f t="shared" si="24"/>
        <v>3760</v>
      </c>
      <c r="D209" s="164">
        <v>3760</v>
      </c>
      <c r="E209" s="164"/>
      <c r="F209" s="164"/>
      <c r="G209" s="164"/>
      <c r="H209" s="164"/>
      <c r="I209" s="164"/>
      <c r="J209" s="164"/>
      <c r="K209" s="56" t="str">
        <f>IF(C209-[1]表二!E1241=0,"正确","错误，请检查")</f>
        <v>正确</v>
      </c>
    </row>
    <row r="210" s="34" customFormat="1" ht="20.1" customHeight="1" spans="1:11">
      <c r="A210" s="161">
        <v>233</v>
      </c>
      <c r="B210" s="52" t="s">
        <v>1019</v>
      </c>
      <c r="C210" s="159">
        <f t="shared" si="24"/>
        <v>33</v>
      </c>
      <c r="D210" s="164">
        <v>33</v>
      </c>
      <c r="E210" s="164"/>
      <c r="F210" s="164"/>
      <c r="G210" s="164"/>
      <c r="H210" s="164"/>
      <c r="I210" s="164"/>
      <c r="J210" s="164"/>
      <c r="K210" s="56" t="str">
        <f>IF(C210-[1]表二!E1246=0,"正确","错误，请检查")</f>
        <v>正确</v>
      </c>
    </row>
    <row r="211" s="34" customFormat="1" spans="2:11">
      <c r="B211" s="168" t="s">
        <v>1144</v>
      </c>
      <c r="C211" s="169">
        <f t="shared" si="24"/>
        <v>188857</v>
      </c>
      <c r="D211" s="170">
        <f t="shared" ref="D211:I211" si="27">SUM(D6,D33,D36,D39,D51,D62,D73,D80,D102,D116,D132,D139,D148,D155,D163,D167,D173,D183,D187,D191,D196,D204,D205,D208,D210)</f>
        <v>152556</v>
      </c>
      <c r="E211" s="170">
        <f t="shared" si="27"/>
        <v>7240</v>
      </c>
      <c r="F211" s="170">
        <f t="shared" si="27"/>
        <v>25061</v>
      </c>
      <c r="G211" s="170">
        <f t="shared" si="27"/>
        <v>4000</v>
      </c>
      <c r="H211" s="170">
        <f t="shared" si="27"/>
        <v>0</v>
      </c>
      <c r="I211" s="170">
        <f t="shared" si="27"/>
        <v>0</v>
      </c>
      <c r="J211" s="170">
        <f>SUM(J6,J33,J36,J39,J51,J62,J73,J80,J102,J116,J132,J139,J148,J155,J163,J167,J173,J183,J187,J191,J196,J205,J208,J210)</f>
        <v>0</v>
      </c>
      <c r="K211" s="56" t="str">
        <f>IF(C211-[1]表二!E1250=0,"正确","错误，请检查")</f>
        <v>正确</v>
      </c>
    </row>
    <row r="212" s="34" customFormat="1" ht="23.4" customHeight="1" spans="2:10">
      <c r="B212" s="171" t="s">
        <v>1145</v>
      </c>
      <c r="C212" s="172"/>
      <c r="D212" s="173">
        <f>[1]表三!D7+[1]表三!D10+[1]表三!D17+[1]表三!D91</f>
        <v>152893</v>
      </c>
      <c r="E212" s="174">
        <f>[1]表三!D53</f>
        <v>7240</v>
      </c>
      <c r="F212" s="173">
        <f>[1]表三!D82</f>
        <v>25061</v>
      </c>
      <c r="G212" s="173">
        <f>[1]表三!D83</f>
        <v>5000</v>
      </c>
      <c r="H212" s="175">
        <f>[1]表三!D88+[1]表三!D89</f>
        <v>11500</v>
      </c>
      <c r="I212" s="183"/>
      <c r="J212" s="182"/>
    </row>
    <row r="213" s="34" customFormat="1" ht="28.5" spans="2:10">
      <c r="B213" s="176" t="s">
        <v>1146</v>
      </c>
      <c r="C213" s="172"/>
      <c r="D213" s="177" t="str">
        <f t="shared" ref="D213:H213" si="28">IF(D211-D212&lt;=0,"正确","错误")</f>
        <v>正确</v>
      </c>
      <c r="E213" s="177" t="str">
        <f>IF(E211-E212=0,"正确","错误")</f>
        <v>正确</v>
      </c>
      <c r="F213" s="177" t="str">
        <f t="shared" si="28"/>
        <v>正确</v>
      </c>
      <c r="G213" s="177" t="str">
        <f t="shared" si="28"/>
        <v>正确</v>
      </c>
      <c r="H213" s="177" t="str">
        <f t="shared" si="28"/>
        <v>正确</v>
      </c>
      <c r="I213" s="177"/>
      <c r="J213" s="182"/>
    </row>
    <row r="214" s="34" customFormat="1" ht="14.25" spans="2:10">
      <c r="B214" s="178" t="s">
        <v>1147</v>
      </c>
      <c r="C214" s="179"/>
      <c r="D214" s="179"/>
      <c r="E214" s="179"/>
      <c r="F214" s="179"/>
      <c r="G214" s="179"/>
      <c r="H214" s="179"/>
      <c r="I214" s="184"/>
      <c r="J214" s="182"/>
    </row>
    <row r="215" s="34" customFormat="1" ht="14.25" spans="2:10">
      <c r="B215" s="178" t="s">
        <v>1148</v>
      </c>
      <c r="C215" s="179"/>
      <c r="D215" s="179"/>
      <c r="E215" s="179"/>
      <c r="F215" s="179"/>
      <c r="G215" s="179"/>
      <c r="H215" s="179"/>
      <c r="I215" s="184"/>
      <c r="J215" s="182"/>
    </row>
    <row r="216" s="34" customFormat="1" ht="14.25" spans="2:10">
      <c r="B216" s="180" t="s">
        <v>1149</v>
      </c>
      <c r="C216" s="181"/>
      <c r="D216" s="181"/>
      <c r="E216" s="181"/>
      <c r="F216" s="181"/>
      <c r="G216" s="181"/>
      <c r="H216" s="181"/>
      <c r="I216" s="185"/>
      <c r="J216" s="182"/>
    </row>
    <row r="217" s="34" customFormat="1" spans="2:10">
      <c r="B217" s="182"/>
      <c r="C217" s="182"/>
      <c r="D217" s="182"/>
      <c r="E217" s="182"/>
      <c r="F217" s="182"/>
      <c r="G217" s="182"/>
      <c r="H217" s="182"/>
      <c r="I217" s="182"/>
      <c r="J217" s="182"/>
    </row>
  </sheetData>
  <autoFilter ref="A5:J216">
    <extLst/>
  </autoFilter>
  <mergeCells count="9">
    <mergeCell ref="A2:I2"/>
    <mergeCell ref="A4:B4"/>
    <mergeCell ref="C4:C5"/>
    <mergeCell ref="D4:D5"/>
    <mergeCell ref="E4:E5"/>
    <mergeCell ref="F4:F5"/>
    <mergeCell ref="G4:G5"/>
    <mergeCell ref="H4:H5"/>
    <mergeCell ref="I4:I5"/>
  </mergeCells>
  <conditionalFormatting sqref="D213:I213">
    <cfRule type="containsText" dxfId="0" priority="1" operator="between" text="错误">
      <formula>NOT(ISERROR(SEARCH("错误",D213)))</formula>
    </cfRule>
  </conditionalFormatting>
  <conditionalFormatting sqref="J212:J217">
    <cfRule type="containsText" dxfId="1" priority="3" operator="between" text="错误">
      <formula>NOT(ISERROR(SEARCH("错误",J212)))</formula>
    </cfRule>
  </conditionalFormatting>
  <conditionalFormatting sqref="K$1:K$1048576">
    <cfRule type="containsText" dxfId="0" priority="2" operator="between" text="错误">
      <formula>NOT(ISERROR(SEARCH("错误",K1)))</formula>
    </cfRule>
  </conditionalFormatting>
  <conditionalFormatting sqref="K6:K211">
    <cfRule type="containsText" dxfId="1" priority="4" operator="between" text="错误">
      <formula>NOT(ISERROR(SEARCH("错误",K6)))</formula>
    </cfRule>
  </conditionalFormatting>
  <printOptions horizontalCentered="1"/>
  <pageMargins left="0.393700787401575" right="0.393700787401575" top="0.590551181102362" bottom="0.62992125984252" header="0.393700787401575" footer="0.393700787401575"/>
  <pageSetup paperSize="9" scale="80" firstPageNumber="49" orientation="landscape" useFirstPageNumber="1"/>
  <headerFooter differentOddEven="1">
    <oddFooter>&amp;L&amp;16—&amp;P—</oddFooter>
    <evenFooter>&amp;R&amp;16—&amp;P—</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showGridLines="0" showZeros="0" zoomScale="90" zoomScaleNormal="90" workbookViewId="0">
      <pane ySplit="5" topLeftCell="A6" activePane="bottomLeft" state="frozen"/>
      <selection/>
      <selection pane="bottomLeft" activeCell="G7" sqref="G7"/>
    </sheetView>
  </sheetViews>
  <sheetFormatPr defaultColWidth="9" defaultRowHeight="13.5"/>
  <cols>
    <col min="1" max="1" width="4.3" style="34" customWidth="1"/>
    <col min="2" max="2" width="23.2" style="34" customWidth="1"/>
    <col min="3" max="3" width="13.1" style="34" customWidth="1"/>
    <col min="4" max="18" width="8.1" style="34" customWidth="1"/>
    <col min="19" max="16384" width="9" style="34"/>
  </cols>
  <sheetData>
    <row r="1" ht="14.25" spans="1:1">
      <c r="A1" s="36" t="s">
        <v>1150</v>
      </c>
    </row>
    <row r="2" s="32" customFormat="1" ht="22.5" spans="1:18">
      <c r="A2" s="26" t="s">
        <v>1151</v>
      </c>
      <c r="B2" s="26"/>
      <c r="C2" s="26"/>
      <c r="D2" s="26"/>
      <c r="E2" s="26"/>
      <c r="F2" s="26"/>
      <c r="G2" s="26"/>
      <c r="H2" s="26"/>
      <c r="I2" s="26"/>
      <c r="J2" s="26"/>
      <c r="K2" s="26"/>
      <c r="L2" s="26"/>
      <c r="M2" s="26"/>
      <c r="N2" s="26"/>
      <c r="O2" s="26"/>
      <c r="P2" s="26"/>
      <c r="Q2" s="26"/>
      <c r="R2" s="26"/>
    </row>
    <row r="3" ht="20.25" customHeight="1" spans="4:18">
      <c r="D3" s="152"/>
      <c r="E3" s="152"/>
      <c r="F3" s="152"/>
      <c r="G3" s="152"/>
      <c r="H3" s="152"/>
      <c r="I3" s="152"/>
      <c r="R3" s="5" t="s">
        <v>1152</v>
      </c>
    </row>
    <row r="4" s="33" customFormat="1" ht="22.95" customHeight="1" spans="1:18">
      <c r="A4" s="72" t="s">
        <v>27</v>
      </c>
      <c r="B4" s="72"/>
      <c r="C4" s="72" t="s">
        <v>1153</v>
      </c>
      <c r="D4" s="72">
        <v>501</v>
      </c>
      <c r="E4" s="72">
        <v>502</v>
      </c>
      <c r="F4" s="72">
        <v>503</v>
      </c>
      <c r="G4" s="72">
        <v>504</v>
      </c>
      <c r="H4" s="72">
        <v>505</v>
      </c>
      <c r="I4" s="72">
        <v>506</v>
      </c>
      <c r="J4" s="72">
        <v>507</v>
      </c>
      <c r="K4" s="72">
        <v>508</v>
      </c>
      <c r="L4" s="72">
        <v>509</v>
      </c>
      <c r="M4" s="72">
        <v>510</v>
      </c>
      <c r="N4" s="72">
        <v>511</v>
      </c>
      <c r="O4" s="72">
        <v>512</v>
      </c>
      <c r="P4" s="72">
        <v>513</v>
      </c>
      <c r="Q4" s="72">
        <v>514</v>
      </c>
      <c r="R4" s="72">
        <v>515</v>
      </c>
    </row>
    <row r="5" s="33" customFormat="1" ht="69" customHeight="1" spans="1:19">
      <c r="A5" s="72" t="s">
        <v>32</v>
      </c>
      <c r="B5" s="72" t="s">
        <v>33</v>
      </c>
      <c r="C5" s="72"/>
      <c r="D5" s="66" t="s">
        <v>1154</v>
      </c>
      <c r="E5" s="66" t="s">
        <v>1155</v>
      </c>
      <c r="F5" s="66" t="s">
        <v>1156</v>
      </c>
      <c r="G5" s="66" t="s">
        <v>1157</v>
      </c>
      <c r="H5" s="66" t="s">
        <v>1158</v>
      </c>
      <c r="I5" s="66" t="s">
        <v>1159</v>
      </c>
      <c r="J5" s="66" t="s">
        <v>1160</v>
      </c>
      <c r="K5" s="66" t="s">
        <v>1161</v>
      </c>
      <c r="L5" s="66" t="s">
        <v>1162</v>
      </c>
      <c r="M5" s="66" t="s">
        <v>1163</v>
      </c>
      <c r="N5" s="66" t="s">
        <v>1164</v>
      </c>
      <c r="O5" s="66" t="s">
        <v>1165</v>
      </c>
      <c r="P5" s="66" t="s">
        <v>1029</v>
      </c>
      <c r="Q5" s="66" t="s">
        <v>1166</v>
      </c>
      <c r="R5" s="66" t="s">
        <v>1011</v>
      </c>
      <c r="S5" s="156" t="s">
        <v>1139</v>
      </c>
    </row>
    <row r="6" ht="20.1" customHeight="1" spans="1:19">
      <c r="A6" s="50">
        <v>201</v>
      </c>
      <c r="B6" s="52" t="s">
        <v>1167</v>
      </c>
      <c r="C6" s="153">
        <f>SUM(D6:R6)</f>
        <v>25117</v>
      </c>
      <c r="D6" s="52">
        <v>12023</v>
      </c>
      <c r="E6" s="52">
        <v>8160</v>
      </c>
      <c r="F6" s="52">
        <v>238</v>
      </c>
      <c r="G6" s="52"/>
      <c r="H6" s="52">
        <v>65</v>
      </c>
      <c r="I6" s="52"/>
      <c r="J6" s="52"/>
      <c r="K6" s="52"/>
      <c r="L6" s="52">
        <f>1994+256+2381</f>
        <v>4631</v>
      </c>
      <c r="M6" s="52"/>
      <c r="N6" s="52"/>
      <c r="O6" s="52"/>
      <c r="P6" s="52"/>
      <c r="Q6" s="52"/>
      <c r="R6" s="52"/>
      <c r="S6" s="56" t="str">
        <f>IF(C6-表二!E6=0,"正确","错误，请检查")</f>
        <v>正确</v>
      </c>
    </row>
    <row r="7" ht="20.1" customHeight="1" spans="1:19">
      <c r="A7" s="50">
        <v>202</v>
      </c>
      <c r="B7" s="52" t="s">
        <v>195</v>
      </c>
      <c r="C7" s="153">
        <f t="shared" ref="C7:C32" si="0">SUM(D7:R7)</f>
        <v>0</v>
      </c>
      <c r="D7" s="52"/>
      <c r="E7" s="52"/>
      <c r="F7" s="52"/>
      <c r="G7" s="52"/>
      <c r="H7" s="52"/>
      <c r="I7" s="52"/>
      <c r="J7" s="52"/>
      <c r="K7" s="52"/>
      <c r="L7" s="52"/>
      <c r="M7" s="52"/>
      <c r="N7" s="52"/>
      <c r="O7" s="52"/>
      <c r="P7" s="52"/>
      <c r="Q7" s="52"/>
      <c r="R7" s="52"/>
      <c r="S7" s="56" t="str">
        <f>IF(C7-表二!E235=0,"正确","错误，请检查")</f>
        <v>正确</v>
      </c>
    </row>
    <row r="8" ht="20.1" customHeight="1" spans="1:19">
      <c r="A8" s="50">
        <v>203</v>
      </c>
      <c r="B8" s="52" t="s">
        <v>199</v>
      </c>
      <c r="C8" s="153">
        <f t="shared" si="0"/>
        <v>223</v>
      </c>
      <c r="D8" s="52"/>
      <c r="E8" s="52"/>
      <c r="F8" s="52"/>
      <c r="G8" s="52"/>
      <c r="H8" s="52">
        <f>192+31</f>
        <v>223</v>
      </c>
      <c r="I8" s="52"/>
      <c r="J8" s="52"/>
      <c r="K8" s="52"/>
      <c r="L8" s="52"/>
      <c r="M8" s="52"/>
      <c r="N8" s="52"/>
      <c r="O8" s="52"/>
      <c r="P8" s="52"/>
      <c r="Q8" s="52"/>
      <c r="R8" s="52"/>
      <c r="S8" s="56" t="str">
        <f>IF(C8-表二!E239=0,"正确","错误，请检查")</f>
        <v>正确</v>
      </c>
    </row>
    <row r="9" ht="20.1" customHeight="1" spans="1:19">
      <c r="A9" s="50">
        <v>204</v>
      </c>
      <c r="B9" s="52" t="s">
        <v>1140</v>
      </c>
      <c r="C9" s="153">
        <f t="shared" si="0"/>
        <v>9605</v>
      </c>
      <c r="D9" s="52">
        <f>4406+300</f>
        <v>4706</v>
      </c>
      <c r="E9" s="52">
        <f>2541</f>
        <v>2541</v>
      </c>
      <c r="F9" s="52">
        <f>512+402+923</f>
        <v>1837</v>
      </c>
      <c r="G9" s="52"/>
      <c r="H9" s="52"/>
      <c r="I9" s="52">
        <v>94</v>
      </c>
      <c r="J9" s="52"/>
      <c r="K9" s="52"/>
      <c r="L9" s="52">
        <v>427</v>
      </c>
      <c r="M9" s="52"/>
      <c r="N9" s="52"/>
      <c r="O9" s="52"/>
      <c r="P9" s="52"/>
      <c r="Q9" s="52"/>
      <c r="R9" s="52"/>
      <c r="S9" s="56" t="str">
        <f>IF(C9-表二!E249=0,"正确","错误，请检查")</f>
        <v>正确</v>
      </c>
    </row>
    <row r="10" ht="20.1" customHeight="1" spans="1:19">
      <c r="A10" s="50">
        <v>205</v>
      </c>
      <c r="B10" s="52" t="s">
        <v>260</v>
      </c>
      <c r="C10" s="153">
        <f t="shared" si="0"/>
        <v>34191</v>
      </c>
      <c r="D10" s="52">
        <v>1133</v>
      </c>
      <c r="E10" s="52">
        <v>1932</v>
      </c>
      <c r="F10" s="52">
        <v>169</v>
      </c>
      <c r="G10" s="52"/>
      <c r="H10" s="52">
        <f>22017+3355</f>
        <v>25372</v>
      </c>
      <c r="I10" s="52">
        <f>475+353</f>
        <v>828</v>
      </c>
      <c r="J10" s="52"/>
      <c r="K10" s="52"/>
      <c r="L10" s="52">
        <v>4757</v>
      </c>
      <c r="M10" s="52"/>
      <c r="N10" s="52"/>
      <c r="O10" s="52"/>
      <c r="P10" s="52"/>
      <c r="Q10" s="52"/>
      <c r="R10" s="52"/>
      <c r="S10" s="56" t="str">
        <f>IF(C10-表二!E339=0,"正确","错误，请检查")</f>
        <v>正确</v>
      </c>
    </row>
    <row r="11" ht="20.1" customHeight="1" spans="1:19">
      <c r="A11" s="50">
        <v>206</v>
      </c>
      <c r="B11" s="52" t="s">
        <v>308</v>
      </c>
      <c r="C11" s="153">
        <f t="shared" si="0"/>
        <v>196</v>
      </c>
      <c r="D11" s="52">
        <v>146</v>
      </c>
      <c r="E11" s="52">
        <f>27+8</f>
        <v>35</v>
      </c>
      <c r="F11" s="52"/>
      <c r="G11" s="52"/>
      <c r="H11" s="52"/>
      <c r="I11" s="52"/>
      <c r="J11" s="52"/>
      <c r="K11" s="52"/>
      <c r="L11" s="52">
        <v>15</v>
      </c>
      <c r="M11" s="52"/>
      <c r="N11" s="52"/>
      <c r="O11" s="52"/>
      <c r="P11" s="52"/>
      <c r="Q11" s="52"/>
      <c r="R11" s="52"/>
      <c r="S11" s="56" t="str">
        <f>IF(C11-表二!E390=0,"正确","错误，请检查")</f>
        <v>正确</v>
      </c>
    </row>
    <row r="12" ht="20.1" customHeight="1" spans="1:19">
      <c r="A12" s="50">
        <v>207</v>
      </c>
      <c r="B12" s="52" t="s">
        <v>357</v>
      </c>
      <c r="C12" s="153">
        <f t="shared" si="0"/>
        <v>3895</v>
      </c>
      <c r="D12" s="52">
        <v>443</v>
      </c>
      <c r="E12" s="52">
        <f>204</f>
        <v>204</v>
      </c>
      <c r="F12" s="52">
        <f>1+555+1731</f>
        <v>2287</v>
      </c>
      <c r="G12" s="52"/>
      <c r="H12" s="52">
        <v>856</v>
      </c>
      <c r="I12" s="52"/>
      <c r="J12" s="52"/>
      <c r="K12" s="52"/>
      <c r="L12" s="52">
        <v>105</v>
      </c>
      <c r="M12" s="52"/>
      <c r="N12" s="52"/>
      <c r="O12" s="52"/>
      <c r="P12" s="52"/>
      <c r="Q12" s="52"/>
      <c r="R12" s="52"/>
      <c r="S12" s="56" t="str">
        <f>IF(C12-表二!E446=0,"正确","错误，请检查")</f>
        <v>正确</v>
      </c>
    </row>
    <row r="13" ht="20.1" customHeight="1" spans="1:19">
      <c r="A13" s="50">
        <v>208</v>
      </c>
      <c r="B13" s="52" t="s">
        <v>399</v>
      </c>
      <c r="C13" s="153">
        <f t="shared" si="0"/>
        <v>29058</v>
      </c>
      <c r="D13" s="52">
        <v>6032</v>
      </c>
      <c r="E13" s="52">
        <v>591</v>
      </c>
      <c r="F13" s="52">
        <v>2</v>
      </c>
      <c r="G13" s="52"/>
      <c r="H13" s="52">
        <f>4734</f>
        <v>4734</v>
      </c>
      <c r="I13" s="52"/>
      <c r="J13" s="52">
        <v>10</v>
      </c>
      <c r="K13" s="52"/>
      <c r="L13" s="52">
        <v>7370</v>
      </c>
      <c r="M13" s="52">
        <f>12956-2637</f>
        <v>10319</v>
      </c>
      <c r="N13" s="52"/>
      <c r="O13" s="52"/>
      <c r="P13" s="52"/>
      <c r="Q13" s="52"/>
      <c r="R13" s="52"/>
      <c r="S13" s="56" t="str">
        <f>IF(C13-表二!E503=0,"正确","错误，请检查")</f>
        <v>正确</v>
      </c>
    </row>
    <row r="14" ht="20.1" customHeight="1" spans="1:19">
      <c r="A14" s="50">
        <v>210</v>
      </c>
      <c r="B14" s="52" t="s">
        <v>507</v>
      </c>
      <c r="C14" s="153">
        <f t="shared" si="0"/>
        <v>14482</v>
      </c>
      <c r="D14" s="52">
        <v>1780</v>
      </c>
      <c r="E14" s="52">
        <v>446</v>
      </c>
      <c r="F14" s="52"/>
      <c r="G14" s="52"/>
      <c r="H14" s="52">
        <v>6250</v>
      </c>
      <c r="I14" s="52">
        <f>295+466</f>
        <v>761</v>
      </c>
      <c r="J14" s="52"/>
      <c r="K14" s="52"/>
      <c r="L14" s="52">
        <f>2495+2225</f>
        <v>4720</v>
      </c>
      <c r="M14" s="52">
        <v>525</v>
      </c>
      <c r="N14" s="52"/>
      <c r="O14" s="52"/>
      <c r="P14" s="52"/>
      <c r="Q14" s="52"/>
      <c r="R14" s="52"/>
      <c r="S14" s="56" t="str">
        <f>IF(C14-表二!E629=0,"正确","错误，请检查")</f>
        <v>正确</v>
      </c>
    </row>
    <row r="15" ht="20.1" customHeight="1" spans="1:19">
      <c r="A15" s="50">
        <v>211</v>
      </c>
      <c r="B15" s="52" t="s">
        <v>570</v>
      </c>
      <c r="C15" s="153">
        <f t="shared" si="0"/>
        <v>5449</v>
      </c>
      <c r="D15" s="52">
        <v>34</v>
      </c>
      <c r="E15" s="52">
        <f>1669+2946+797</f>
        <v>5412</v>
      </c>
      <c r="F15" s="52"/>
      <c r="G15" s="52"/>
      <c r="H15" s="52"/>
      <c r="I15" s="52"/>
      <c r="J15" s="52"/>
      <c r="K15" s="52"/>
      <c r="L15" s="52">
        <v>3</v>
      </c>
      <c r="M15" s="52"/>
      <c r="N15" s="52"/>
      <c r="O15" s="52"/>
      <c r="P15" s="52"/>
      <c r="Q15" s="52"/>
      <c r="R15" s="52"/>
      <c r="S15" s="56" t="str">
        <f>IF(C15-表二!E700=0,"正确","错误，请检查")</f>
        <v>正确</v>
      </c>
    </row>
    <row r="16" ht="20.1" customHeight="1" spans="1:19">
      <c r="A16" s="50">
        <v>212</v>
      </c>
      <c r="B16" s="52" t="s">
        <v>634</v>
      </c>
      <c r="C16" s="153">
        <f t="shared" si="0"/>
        <v>4497</v>
      </c>
      <c r="D16" s="52">
        <v>569</v>
      </c>
      <c r="E16" s="52">
        <f>743+186</f>
        <v>929</v>
      </c>
      <c r="F16" s="52">
        <f>13+2699</f>
        <v>2712</v>
      </c>
      <c r="G16" s="52"/>
      <c r="H16" s="52">
        <v>196</v>
      </c>
      <c r="I16" s="52"/>
      <c r="J16" s="52"/>
      <c r="K16" s="52"/>
      <c r="L16" s="52">
        <v>91</v>
      </c>
      <c r="M16" s="52"/>
      <c r="N16" s="52"/>
      <c r="O16" s="52"/>
      <c r="P16" s="52"/>
      <c r="Q16" s="52"/>
      <c r="R16" s="52"/>
      <c r="S16" s="56" t="str">
        <f>IF(C16-表二!E772=0,"正确","错误，请检查")</f>
        <v>正确</v>
      </c>
    </row>
    <row r="17" ht="20.1" customHeight="1" spans="1:19">
      <c r="A17" s="50">
        <v>213</v>
      </c>
      <c r="B17" s="52" t="s">
        <v>650</v>
      </c>
      <c r="C17" s="153">
        <f t="shared" si="0"/>
        <v>42819</v>
      </c>
      <c r="D17" s="52">
        <v>2610</v>
      </c>
      <c r="E17" s="52">
        <v>1466</v>
      </c>
      <c r="F17" s="52">
        <f>16162+10+1351</f>
        <v>17523</v>
      </c>
      <c r="G17" s="52"/>
      <c r="H17" s="52">
        <v>1404</v>
      </c>
      <c r="I17" s="52">
        <v>5521</v>
      </c>
      <c r="J17" s="52">
        <v>1507</v>
      </c>
      <c r="K17" s="52"/>
      <c r="L17" s="52">
        <f>2939+9849</f>
        <v>12788</v>
      </c>
      <c r="M17" s="52"/>
      <c r="N17" s="52"/>
      <c r="O17" s="52"/>
      <c r="P17" s="52"/>
      <c r="Q17" s="52"/>
      <c r="R17" s="52"/>
      <c r="S17" s="56" t="str">
        <f>IF(C17-表二!E791=0,"正确","错误，请检查")</f>
        <v>正确</v>
      </c>
    </row>
    <row r="18" ht="20.1" customHeight="1" spans="1:19">
      <c r="A18" s="50">
        <v>214</v>
      </c>
      <c r="B18" s="52" t="s">
        <v>741</v>
      </c>
      <c r="C18" s="153">
        <f t="shared" si="0"/>
        <v>1767</v>
      </c>
      <c r="D18" s="52">
        <v>416</v>
      </c>
      <c r="E18" s="52">
        <f>112+2</f>
        <v>114</v>
      </c>
      <c r="F18" s="52">
        <f>2+1199</f>
        <v>1201</v>
      </c>
      <c r="G18" s="52"/>
      <c r="H18" s="52"/>
      <c r="I18" s="52"/>
      <c r="J18" s="52"/>
      <c r="K18" s="52"/>
      <c r="L18" s="52">
        <v>36</v>
      </c>
      <c r="M18" s="52"/>
      <c r="N18" s="52"/>
      <c r="O18" s="52"/>
      <c r="P18" s="52"/>
      <c r="Q18" s="52"/>
      <c r="R18" s="52"/>
      <c r="S18" s="56" t="str">
        <f>IF(C18-表二!E898=0,"正确","错误，请检查")</f>
        <v>正确</v>
      </c>
    </row>
    <row r="19" ht="20.1" customHeight="1" spans="1:19">
      <c r="A19" s="50">
        <v>215</v>
      </c>
      <c r="B19" s="154" t="s">
        <v>786</v>
      </c>
      <c r="C19" s="153">
        <f t="shared" si="0"/>
        <v>294</v>
      </c>
      <c r="D19" s="52">
        <v>171</v>
      </c>
      <c r="E19" s="52">
        <v>68</v>
      </c>
      <c r="F19" s="52"/>
      <c r="G19" s="52"/>
      <c r="H19" s="52"/>
      <c r="I19" s="52"/>
      <c r="J19" s="52"/>
      <c r="K19" s="52"/>
      <c r="L19" s="52">
        <v>55</v>
      </c>
      <c r="M19" s="52"/>
      <c r="N19" s="52"/>
      <c r="O19" s="52"/>
      <c r="P19" s="52"/>
      <c r="Q19" s="52"/>
      <c r="R19" s="52"/>
      <c r="S19" s="56" t="str">
        <f>IF(C19-表二!E956=0,"正确","错误，请检查")</f>
        <v>正确</v>
      </c>
    </row>
    <row r="20" ht="20.1" customHeight="1" spans="1:19">
      <c r="A20" s="50">
        <v>216</v>
      </c>
      <c r="B20" s="154" t="s">
        <v>831</v>
      </c>
      <c r="C20" s="153">
        <f t="shared" si="0"/>
        <v>210</v>
      </c>
      <c r="D20" s="52">
        <v>116</v>
      </c>
      <c r="E20" s="52">
        <f>47+21</f>
        <v>68</v>
      </c>
      <c r="F20" s="52"/>
      <c r="G20" s="52"/>
      <c r="H20" s="52"/>
      <c r="I20" s="52"/>
      <c r="J20" s="52"/>
      <c r="K20" s="52"/>
      <c r="L20" s="52">
        <v>26</v>
      </c>
      <c r="M20" s="52"/>
      <c r="N20" s="52"/>
      <c r="O20" s="52"/>
      <c r="P20" s="52"/>
      <c r="Q20" s="52"/>
      <c r="R20" s="52"/>
      <c r="S20" s="56" t="str">
        <f>IF(C20-表二!E1020=0,"正确","错误，请检查")</f>
        <v>正确</v>
      </c>
    </row>
    <row r="21" ht="20.1" customHeight="1" spans="1:19">
      <c r="A21" s="50">
        <v>217</v>
      </c>
      <c r="B21" s="50" t="s">
        <v>844</v>
      </c>
      <c r="C21" s="153">
        <f t="shared" si="0"/>
        <v>67</v>
      </c>
      <c r="D21" s="52"/>
      <c r="E21" s="52">
        <v>67</v>
      </c>
      <c r="F21" s="52"/>
      <c r="G21" s="52"/>
      <c r="H21" s="52"/>
      <c r="I21" s="52"/>
      <c r="J21" s="52"/>
      <c r="K21" s="52"/>
      <c r="L21" s="52"/>
      <c r="M21" s="52"/>
      <c r="N21" s="52"/>
      <c r="O21" s="52"/>
      <c r="P21" s="52"/>
      <c r="Q21" s="52"/>
      <c r="R21" s="52"/>
      <c r="S21" s="56" t="str">
        <f>IF(C21-表二!E1040=0,"正确","错误，请检查")</f>
        <v>正确</v>
      </c>
    </row>
    <row r="22" ht="20.1" customHeight="1" spans="1:19">
      <c r="A22" s="50">
        <v>219</v>
      </c>
      <c r="B22" s="154" t="s">
        <v>870</v>
      </c>
      <c r="C22" s="153">
        <f t="shared" si="0"/>
        <v>0</v>
      </c>
      <c r="D22" s="52"/>
      <c r="E22" s="52"/>
      <c r="F22" s="52"/>
      <c r="G22" s="52"/>
      <c r="H22" s="52"/>
      <c r="I22" s="52"/>
      <c r="J22" s="52"/>
      <c r="K22" s="52"/>
      <c r="L22" s="52"/>
      <c r="M22" s="52"/>
      <c r="N22" s="52"/>
      <c r="O22" s="52"/>
      <c r="P22" s="52"/>
      <c r="Q22" s="52"/>
      <c r="R22" s="52"/>
      <c r="S22" s="56" t="str">
        <f>IF(C22-表二!E1070=0,"正确","错误，请检查")</f>
        <v>正确</v>
      </c>
    </row>
    <row r="23" ht="20.1" customHeight="1" spans="1:19">
      <c r="A23" s="50">
        <v>220</v>
      </c>
      <c r="B23" s="154" t="s">
        <v>879</v>
      </c>
      <c r="C23" s="153">
        <f t="shared" si="0"/>
        <v>1812</v>
      </c>
      <c r="D23" s="52">
        <v>766</v>
      </c>
      <c r="E23" s="52">
        <f>191+1</f>
        <v>192</v>
      </c>
      <c r="F23" s="52">
        <v>787</v>
      </c>
      <c r="G23" s="52"/>
      <c r="H23" s="52">
        <v>23</v>
      </c>
      <c r="I23" s="52"/>
      <c r="J23" s="52"/>
      <c r="K23" s="52"/>
      <c r="L23" s="52">
        <v>44</v>
      </c>
      <c r="M23" s="52"/>
      <c r="N23" s="52"/>
      <c r="O23" s="52"/>
      <c r="P23" s="52"/>
      <c r="Q23" s="52"/>
      <c r="R23" s="52"/>
      <c r="S23" s="56" t="str">
        <f>IF(C23-表二!E1080=0,"正确","错误，请检查")</f>
        <v>正确</v>
      </c>
    </row>
    <row r="24" ht="20.1" customHeight="1" spans="1:19">
      <c r="A24" s="50">
        <v>221</v>
      </c>
      <c r="B24" s="154" t="s">
        <v>916</v>
      </c>
      <c r="C24" s="153">
        <f t="shared" si="0"/>
        <v>5026</v>
      </c>
      <c r="D24" s="52">
        <v>2355</v>
      </c>
      <c r="E24" s="52"/>
      <c r="F24" s="52">
        <f>108+256</f>
        <v>364</v>
      </c>
      <c r="G24" s="52"/>
      <c r="H24" s="52">
        <v>2307</v>
      </c>
      <c r="I24" s="52"/>
      <c r="J24" s="52"/>
      <c r="K24" s="52"/>
      <c r="L24" s="52"/>
      <c r="M24" s="52"/>
      <c r="N24" s="52"/>
      <c r="O24" s="52"/>
      <c r="P24" s="52"/>
      <c r="Q24" s="52"/>
      <c r="R24" s="52"/>
      <c r="S24" s="56" t="str">
        <f>IF(C24-表二!E1124=0,"正确","错误，请检查")</f>
        <v>正确</v>
      </c>
    </row>
    <row r="25" ht="20.1" customHeight="1" spans="1:19">
      <c r="A25" s="50">
        <v>222</v>
      </c>
      <c r="B25" s="154" t="s">
        <v>936</v>
      </c>
      <c r="C25" s="153">
        <f t="shared" si="0"/>
        <v>610</v>
      </c>
      <c r="D25" s="52"/>
      <c r="E25" s="52">
        <f>13+192</f>
        <v>205</v>
      </c>
      <c r="F25" s="52">
        <v>289</v>
      </c>
      <c r="G25" s="52"/>
      <c r="H25" s="52"/>
      <c r="I25" s="52"/>
      <c r="J25" s="52">
        <v>60</v>
      </c>
      <c r="K25" s="52"/>
      <c r="L25" s="52">
        <v>56</v>
      </c>
      <c r="M25" s="52"/>
      <c r="N25" s="52"/>
      <c r="O25" s="52"/>
      <c r="P25" s="52"/>
      <c r="Q25" s="52"/>
      <c r="R25" s="52"/>
      <c r="S25" s="56" t="str">
        <f>IF(C25-表二!E1144=0,"正确","错误，请检查")</f>
        <v>正确</v>
      </c>
    </row>
    <row r="26" ht="20.1" customHeight="1" spans="1:19">
      <c r="A26" s="50">
        <v>224</v>
      </c>
      <c r="B26" s="154" t="s">
        <v>976</v>
      </c>
      <c r="C26" s="153">
        <f t="shared" si="0"/>
        <v>3218</v>
      </c>
      <c r="D26" s="52">
        <v>449</v>
      </c>
      <c r="E26" s="52">
        <v>211</v>
      </c>
      <c r="F26" s="52">
        <f>2352+205</f>
        <v>2557</v>
      </c>
      <c r="G26" s="52"/>
      <c r="H26" s="52"/>
      <c r="I26" s="52"/>
      <c r="J26" s="52"/>
      <c r="K26" s="52"/>
      <c r="L26" s="52">
        <v>1</v>
      </c>
      <c r="M26" s="52"/>
      <c r="N26" s="52"/>
      <c r="O26" s="52"/>
      <c r="P26" s="52"/>
      <c r="Q26" s="52"/>
      <c r="R26" s="52"/>
      <c r="S26" s="56" t="str">
        <f>IF(C26-表二!E1188=0,"正确","错误，请检查")</f>
        <v>正确</v>
      </c>
    </row>
    <row r="27" ht="20.1" customHeight="1" spans="1:19">
      <c r="A27" s="50">
        <v>227</v>
      </c>
      <c r="B27" s="50" t="s">
        <v>1010</v>
      </c>
      <c r="C27" s="153">
        <f t="shared" si="0"/>
        <v>1500</v>
      </c>
      <c r="D27" s="52"/>
      <c r="E27" s="52"/>
      <c r="F27" s="52"/>
      <c r="G27" s="52"/>
      <c r="H27" s="52"/>
      <c r="I27" s="52"/>
      <c r="J27" s="52"/>
      <c r="K27" s="52"/>
      <c r="L27" s="52"/>
      <c r="M27" s="52"/>
      <c r="N27" s="52"/>
      <c r="O27" s="52"/>
      <c r="P27" s="52"/>
      <c r="Q27" s="52">
        <v>1500</v>
      </c>
      <c r="R27" s="52"/>
      <c r="S27" s="56" t="str">
        <f>IF(C27-表二!E1236=0,"正确","错误，请检查")</f>
        <v>正确</v>
      </c>
    </row>
    <row r="28" ht="20.1" customHeight="1" spans="1:19">
      <c r="A28" s="50">
        <v>229</v>
      </c>
      <c r="B28" s="52" t="s">
        <v>1011</v>
      </c>
      <c r="C28" s="153">
        <f t="shared" si="0"/>
        <v>1028</v>
      </c>
      <c r="D28" s="52"/>
      <c r="E28" s="52"/>
      <c r="F28" s="52"/>
      <c r="G28" s="52"/>
      <c r="H28" s="52"/>
      <c r="I28" s="52"/>
      <c r="J28" s="52"/>
      <c r="K28" s="52"/>
      <c r="L28" s="52"/>
      <c r="M28" s="52"/>
      <c r="N28" s="52"/>
      <c r="O28" s="52"/>
      <c r="P28" s="52"/>
      <c r="Q28" s="52">
        <f>1014</f>
        <v>1014</v>
      </c>
      <c r="R28" s="52">
        <v>14</v>
      </c>
      <c r="S28" s="56" t="str">
        <f>IF(C28-表二!E1237=0,"正确","错误，请检查")</f>
        <v>正确</v>
      </c>
    </row>
    <row r="29" ht="20.1" customHeight="1" spans="1:19">
      <c r="A29" s="50">
        <v>230</v>
      </c>
      <c r="B29" s="52" t="s">
        <v>1029</v>
      </c>
      <c r="C29" s="153">
        <f t="shared" si="0"/>
        <v>12837</v>
      </c>
      <c r="D29" s="52"/>
      <c r="E29" s="52"/>
      <c r="F29" s="52"/>
      <c r="G29" s="52"/>
      <c r="H29" s="52"/>
      <c r="I29" s="52"/>
      <c r="J29" s="52"/>
      <c r="K29" s="52"/>
      <c r="L29" s="52"/>
      <c r="M29" s="52"/>
      <c r="N29" s="52"/>
      <c r="O29" s="52">
        <v>12178</v>
      </c>
      <c r="P29" s="52">
        <v>659</v>
      </c>
      <c r="Q29" s="52"/>
      <c r="R29" s="52"/>
      <c r="S29" s="56" t="str">
        <f>IF(C29-表三!J8=0,"正确","错误，请检查")</f>
        <v>正确</v>
      </c>
    </row>
    <row r="30" ht="20.1" customHeight="1" spans="1:19">
      <c r="A30" s="50">
        <v>232</v>
      </c>
      <c r="B30" s="154" t="s">
        <v>1013</v>
      </c>
      <c r="C30" s="153">
        <f t="shared" si="0"/>
        <v>3760</v>
      </c>
      <c r="D30" s="52"/>
      <c r="E30" s="52"/>
      <c r="F30" s="52"/>
      <c r="G30" s="52"/>
      <c r="H30" s="52"/>
      <c r="I30" s="52"/>
      <c r="J30" s="52"/>
      <c r="K30" s="52"/>
      <c r="L30" s="52"/>
      <c r="M30" s="52"/>
      <c r="N30" s="52">
        <v>3760</v>
      </c>
      <c r="O30" s="52"/>
      <c r="P30" s="52"/>
      <c r="Q30" s="52"/>
      <c r="R30" s="52"/>
      <c r="S30" s="56" t="str">
        <f>IF(C30-表二!E1240=0,"正确","错误，请检查")</f>
        <v>正确</v>
      </c>
    </row>
    <row r="31" ht="20.1" customHeight="1" spans="1:19">
      <c r="A31" s="50">
        <v>233</v>
      </c>
      <c r="B31" s="154" t="s">
        <v>1019</v>
      </c>
      <c r="C31" s="153">
        <f t="shared" si="0"/>
        <v>33</v>
      </c>
      <c r="D31" s="52"/>
      <c r="E31" s="52"/>
      <c r="F31" s="52"/>
      <c r="G31" s="52"/>
      <c r="H31" s="52"/>
      <c r="I31" s="52"/>
      <c r="J31" s="52"/>
      <c r="K31" s="52"/>
      <c r="L31" s="52"/>
      <c r="M31" s="52"/>
      <c r="N31" s="52">
        <v>33</v>
      </c>
      <c r="O31" s="52"/>
      <c r="P31" s="52"/>
      <c r="Q31" s="52"/>
      <c r="R31" s="52"/>
      <c r="S31" s="56" t="str">
        <f>IF(C31-表二!E1246=0,"正确","错误，请检查")</f>
        <v>正确</v>
      </c>
    </row>
    <row r="32" ht="20.1" customHeight="1" spans="1:19">
      <c r="A32" s="155" t="s">
        <v>1126</v>
      </c>
      <c r="B32" s="155"/>
      <c r="C32" s="153">
        <f t="shared" si="0"/>
        <v>201694</v>
      </c>
      <c r="D32" s="52">
        <f>SUM(D6:D31)</f>
        <v>33749</v>
      </c>
      <c r="E32" s="52">
        <f t="shared" ref="E32:R32" si="1">SUM(E6:E31)</f>
        <v>22641</v>
      </c>
      <c r="F32" s="52">
        <f t="shared" si="1"/>
        <v>29966</v>
      </c>
      <c r="G32" s="52">
        <f t="shared" si="1"/>
        <v>0</v>
      </c>
      <c r="H32" s="52">
        <f t="shared" si="1"/>
        <v>41430</v>
      </c>
      <c r="I32" s="52">
        <f t="shared" si="1"/>
        <v>7204</v>
      </c>
      <c r="J32" s="52">
        <f t="shared" si="1"/>
        <v>1577</v>
      </c>
      <c r="K32" s="52">
        <f t="shared" si="1"/>
        <v>0</v>
      </c>
      <c r="L32" s="52">
        <f t="shared" si="1"/>
        <v>35125</v>
      </c>
      <c r="M32" s="52">
        <f t="shared" si="1"/>
        <v>10844</v>
      </c>
      <c r="N32" s="52">
        <f t="shared" si="1"/>
        <v>3793</v>
      </c>
      <c r="O32" s="52">
        <f t="shared" si="1"/>
        <v>12178</v>
      </c>
      <c r="P32" s="52">
        <f t="shared" si="1"/>
        <v>659</v>
      </c>
      <c r="Q32" s="52">
        <f t="shared" si="1"/>
        <v>2514</v>
      </c>
      <c r="R32" s="52">
        <f t="shared" si="1"/>
        <v>14</v>
      </c>
      <c r="S32" s="56" t="str">
        <f>IF(C32-表三!J99=0,"正确","错误，请检查")</f>
        <v>正确</v>
      </c>
    </row>
  </sheetData>
  <mergeCells count="4">
    <mergeCell ref="A2:R2"/>
    <mergeCell ref="A4:B4"/>
    <mergeCell ref="A32:B32"/>
    <mergeCell ref="C4:C5"/>
  </mergeCells>
  <conditionalFormatting sqref="S$1:S$1048576">
    <cfRule type="containsText" dxfId="2" priority="2" operator="between" text="错误">
      <formula>NOT(ISERROR(SEARCH("错误",S1)))</formula>
    </cfRule>
    <cfRule type="containsText" dxfId="3" priority="1" operator="between" text="错误">
      <formula>NOT(ISERROR(SEARCH("错误",S1)))</formula>
    </cfRule>
  </conditionalFormatting>
  <conditionalFormatting sqref="S6:S32">
    <cfRule type="containsText" dxfId="1" priority="3" operator="between" text="错误">
      <formula>NOT(ISERROR(SEARCH("错误",S6)))</formula>
    </cfRule>
  </conditionalFormatting>
  <printOptions horizontalCentered="1"/>
  <pageMargins left="0.393700787401575" right="0.393700787401575" top="0.590551181102362" bottom="0.62992125984252" header="0.393700787401575" footer="0.393700787401575"/>
  <pageSetup paperSize="9" scale="80" firstPageNumber="57" orientation="landscape" useFirstPageNumber="1"/>
  <headerFooter differentOddEven="1">
    <oddFooter>&amp;L&amp;16—&amp;P—</oddFooter>
    <evenFooter>&amp;R&amp;16—&amp;P—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2"/>
  <sheetViews>
    <sheetView showGridLines="0" showZeros="0" zoomScale="70" zoomScaleNormal="70" workbookViewId="0">
      <pane ySplit="6" topLeftCell="A7" activePane="bottomLeft" state="frozen"/>
      <selection/>
      <selection pane="bottomLeft" activeCell="S48" sqref="S48"/>
    </sheetView>
  </sheetViews>
  <sheetFormatPr defaultColWidth="5.7" defaultRowHeight="13.5"/>
  <cols>
    <col min="1" max="1" width="20.9" style="127" customWidth="1"/>
    <col min="2" max="2" width="10.7" style="143" customWidth="1"/>
    <col min="3" max="3" width="10.4" style="143" customWidth="1"/>
    <col min="4" max="19" width="7.6" style="143" customWidth="1"/>
    <col min="20" max="20" width="11" style="143" customWidth="1"/>
    <col min="21" max="26" width="7.6" style="143" customWidth="1"/>
    <col min="27" max="27" width="7.6" style="144" customWidth="1"/>
    <col min="28" max="28" width="7.6" style="143" customWidth="1"/>
    <col min="29" max="16384" width="5.7" style="127"/>
  </cols>
  <sheetData>
    <row r="1" ht="14.25" spans="1:1">
      <c r="A1" s="36" t="s">
        <v>1168</v>
      </c>
    </row>
    <row r="2" s="126" customFormat="1" ht="34.05" customHeight="1" spans="1:28">
      <c r="A2" s="37" t="s">
        <v>1169</v>
      </c>
      <c r="B2" s="26"/>
      <c r="C2" s="26"/>
      <c r="D2" s="26"/>
      <c r="E2" s="26"/>
      <c r="F2" s="26"/>
      <c r="G2" s="26"/>
      <c r="H2" s="26"/>
      <c r="I2" s="26"/>
      <c r="J2" s="26"/>
      <c r="K2" s="26"/>
      <c r="L2" s="26"/>
      <c r="M2" s="26"/>
      <c r="N2" s="26"/>
      <c r="O2" s="26"/>
      <c r="P2" s="26"/>
      <c r="Q2" s="26"/>
      <c r="R2" s="26"/>
      <c r="S2" s="26"/>
      <c r="T2" s="26"/>
      <c r="U2" s="26"/>
      <c r="V2" s="26"/>
      <c r="W2" s="26"/>
      <c r="X2" s="26"/>
      <c r="Y2" s="26"/>
      <c r="Z2" s="26"/>
      <c r="AA2" s="26"/>
      <c r="AB2" s="26"/>
    </row>
    <row r="3" ht="17.1" customHeight="1" spans="1:28">
      <c r="A3" s="129"/>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9"/>
      <c r="AB3" s="145" t="s">
        <v>26</v>
      </c>
    </row>
    <row r="4" ht="19.95" customHeight="1" spans="1:28">
      <c r="A4" s="130" t="s">
        <v>1170</v>
      </c>
      <c r="B4" s="146" t="s">
        <v>1171</v>
      </c>
      <c r="C4" s="146"/>
      <c r="D4" s="146"/>
      <c r="E4" s="146"/>
      <c r="F4" s="146"/>
      <c r="G4" s="146"/>
      <c r="H4" s="146"/>
      <c r="I4" s="146"/>
      <c r="J4" s="146"/>
      <c r="K4" s="146"/>
      <c r="L4" s="146"/>
      <c r="M4" s="146"/>
      <c r="N4" s="146"/>
      <c r="O4" s="146"/>
      <c r="P4" s="146"/>
      <c r="Q4" s="146"/>
      <c r="R4" s="146"/>
      <c r="S4" s="146"/>
      <c r="T4" s="146"/>
      <c r="U4" s="146"/>
      <c r="V4" s="146"/>
      <c r="W4" s="146"/>
      <c r="X4" s="146"/>
      <c r="Y4" s="146"/>
      <c r="Z4" s="146"/>
      <c r="AA4" s="150"/>
      <c r="AB4" s="146"/>
    </row>
    <row r="5" ht="17.1" customHeight="1" spans="1:28">
      <c r="A5" s="130"/>
      <c r="B5" s="147" t="s">
        <v>63</v>
      </c>
      <c r="C5" s="147" t="s">
        <v>1172</v>
      </c>
      <c r="D5" s="147"/>
      <c r="E5" s="147"/>
      <c r="F5" s="147"/>
      <c r="G5" s="147"/>
      <c r="H5" s="147"/>
      <c r="I5" s="147"/>
      <c r="J5" s="147"/>
      <c r="K5" s="147"/>
      <c r="L5" s="147"/>
      <c r="M5" s="147"/>
      <c r="N5" s="147"/>
      <c r="O5" s="147"/>
      <c r="P5" s="147"/>
      <c r="Q5" s="147"/>
      <c r="R5" s="147"/>
      <c r="S5" s="147"/>
      <c r="T5" s="147" t="s">
        <v>1173</v>
      </c>
      <c r="U5" s="147"/>
      <c r="V5" s="147"/>
      <c r="W5" s="147"/>
      <c r="X5" s="147"/>
      <c r="Y5" s="147"/>
      <c r="Z5" s="147"/>
      <c r="AA5" s="147"/>
      <c r="AB5" s="147"/>
    </row>
    <row r="6" ht="88.95" customHeight="1" spans="1:28">
      <c r="A6" s="130"/>
      <c r="B6" s="147"/>
      <c r="C6" s="147" t="s">
        <v>1174</v>
      </c>
      <c r="D6" s="147" t="s">
        <v>1175</v>
      </c>
      <c r="E6" s="147" t="s">
        <v>1176</v>
      </c>
      <c r="F6" s="147" t="s">
        <v>1177</v>
      </c>
      <c r="G6" s="147" t="s">
        <v>1178</v>
      </c>
      <c r="H6" s="147" t="s">
        <v>1179</v>
      </c>
      <c r="I6" s="147" t="s">
        <v>1180</v>
      </c>
      <c r="J6" s="147" t="s">
        <v>1181</v>
      </c>
      <c r="K6" s="147" t="s">
        <v>1182</v>
      </c>
      <c r="L6" s="147" t="s">
        <v>1183</v>
      </c>
      <c r="M6" s="147" t="s">
        <v>1184</v>
      </c>
      <c r="N6" s="147" t="s">
        <v>1185</v>
      </c>
      <c r="O6" s="147" t="s">
        <v>1186</v>
      </c>
      <c r="P6" s="147" t="s">
        <v>1187</v>
      </c>
      <c r="Q6" s="147" t="s">
        <v>1188</v>
      </c>
      <c r="R6" s="147" t="s">
        <v>1189</v>
      </c>
      <c r="S6" s="147" t="s">
        <v>1190</v>
      </c>
      <c r="T6" s="147" t="s">
        <v>1174</v>
      </c>
      <c r="U6" s="147" t="s">
        <v>1191</v>
      </c>
      <c r="V6" s="147" t="s">
        <v>1192</v>
      </c>
      <c r="W6" s="147" t="s">
        <v>1193</v>
      </c>
      <c r="X6" s="147" t="s">
        <v>1194</v>
      </c>
      <c r="Y6" s="147" t="s">
        <v>1195</v>
      </c>
      <c r="Z6" s="147" t="s">
        <v>1196</v>
      </c>
      <c r="AA6" s="147" t="s">
        <v>1197</v>
      </c>
      <c r="AB6" s="147" t="s">
        <v>1198</v>
      </c>
    </row>
    <row r="7" ht="16.05" hidden="1" customHeight="1" spans="1:28">
      <c r="A7" s="133" t="s">
        <v>1199</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51"/>
      <c r="AB7" s="148"/>
    </row>
    <row r="8" ht="16.05" hidden="1" customHeight="1" spans="1:28">
      <c r="A8" s="133" t="s">
        <v>1200</v>
      </c>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51"/>
      <c r="AB8" s="148"/>
    </row>
    <row r="9" ht="16.05" hidden="1" customHeight="1" spans="1:28">
      <c r="A9" s="133" t="s">
        <v>1201</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51"/>
      <c r="AB9" s="148"/>
    </row>
    <row r="10" ht="16.05" hidden="1" customHeight="1" spans="1:28">
      <c r="A10" s="133" t="s">
        <v>1202</v>
      </c>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42"/>
      <c r="AB10" s="137"/>
    </row>
    <row r="11" ht="16.05" hidden="1" customHeight="1" spans="1:28">
      <c r="A11" s="133" t="s">
        <v>1203</v>
      </c>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42"/>
      <c r="AB11" s="137"/>
    </row>
    <row r="12" ht="16.05" hidden="1" customHeight="1" spans="1:28">
      <c r="A12" s="133" t="s">
        <v>1204</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42"/>
      <c r="AB12" s="137"/>
    </row>
    <row r="13" ht="16.05" hidden="1" customHeight="1" spans="1:28">
      <c r="A13" s="133" t="s">
        <v>1205</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42"/>
      <c r="AB13" s="137"/>
    </row>
    <row r="14" ht="16.05" hidden="1" customHeight="1" spans="1:28">
      <c r="A14" s="133" t="s">
        <v>1206</v>
      </c>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42"/>
      <c r="AB14" s="137"/>
    </row>
    <row r="15" ht="16.05" hidden="1" customHeight="1" spans="1:28">
      <c r="A15" s="133" t="s">
        <v>1207</v>
      </c>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42"/>
      <c r="AB15" s="137"/>
    </row>
    <row r="16" ht="16.05" hidden="1" customHeight="1" spans="1:28">
      <c r="A16" s="133" t="s">
        <v>1208</v>
      </c>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42"/>
      <c r="AB16" s="137"/>
    </row>
    <row r="17" ht="16.05" hidden="1" customHeight="1" spans="1:28">
      <c r="A17" s="133" t="s">
        <v>1209</v>
      </c>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42"/>
      <c r="AB17" s="137"/>
    </row>
    <row r="18" ht="16.05" hidden="1" customHeight="1" spans="1:28">
      <c r="A18" s="133" t="s">
        <v>1210</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42"/>
      <c r="AB18" s="137"/>
    </row>
    <row r="19" ht="16.05" hidden="1" customHeight="1" spans="1:28">
      <c r="A19" s="133" t="s">
        <v>1211</v>
      </c>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42"/>
      <c r="AB19" s="137"/>
    </row>
    <row r="20" ht="16.05" hidden="1" customHeight="1" spans="1:28">
      <c r="A20" s="133" t="s">
        <v>1212</v>
      </c>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42"/>
      <c r="AB20" s="137"/>
    </row>
    <row r="21" ht="16.05" hidden="1" customHeight="1" spans="1:28">
      <c r="A21" s="133" t="s">
        <v>1213</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42"/>
      <c r="AB21" s="137"/>
    </row>
    <row r="22" ht="16.05" hidden="1" customHeight="1" spans="1:28">
      <c r="A22" s="133" t="s">
        <v>1214</v>
      </c>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42"/>
      <c r="AB22" s="137"/>
    </row>
    <row r="23" ht="16.05" hidden="1" customHeight="1" spans="1:28">
      <c r="A23" s="133" t="s">
        <v>1215</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42"/>
      <c r="AB23" s="137"/>
    </row>
    <row r="24" ht="16.05" hidden="1" customHeight="1" spans="1:28">
      <c r="A24" s="133" t="s">
        <v>1216</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42"/>
      <c r="AB24" s="137"/>
    </row>
    <row r="25" ht="16.05" hidden="1" customHeight="1" spans="1:28">
      <c r="A25" s="133" t="s">
        <v>1217</v>
      </c>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42"/>
      <c r="AB25" s="137"/>
    </row>
    <row r="26" ht="16.05" hidden="1" customHeight="1" spans="1:28">
      <c r="A26" s="133" t="s">
        <v>1218</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42"/>
      <c r="AB26" s="137"/>
    </row>
    <row r="27" ht="16.05" hidden="1" customHeight="1" spans="1:28">
      <c r="A27" s="133" t="s">
        <v>1219</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42"/>
      <c r="AB27" s="137"/>
    </row>
    <row r="28" ht="16.05" hidden="1" customHeight="1" spans="1:28">
      <c r="A28" s="133" t="s">
        <v>1220</v>
      </c>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42"/>
      <c r="AB28" s="137"/>
    </row>
    <row r="29" ht="16.05" hidden="1" customHeight="1" spans="1:28">
      <c r="A29" s="133" t="s">
        <v>1221</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42"/>
      <c r="AB29" s="137"/>
    </row>
    <row r="30" ht="16.05" hidden="1" customHeight="1" spans="1:28">
      <c r="A30" s="133" t="s">
        <v>1222</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42"/>
      <c r="AB30" s="137"/>
    </row>
    <row r="31" ht="16.05" hidden="1" customHeight="1" spans="1:28">
      <c r="A31" s="133" t="s">
        <v>1223</v>
      </c>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42"/>
      <c r="AB31" s="137"/>
    </row>
    <row r="32" ht="16.05" hidden="1" customHeight="1" spans="1:28">
      <c r="A32" s="133" t="s">
        <v>1224</v>
      </c>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42"/>
      <c r="AB32" s="137"/>
    </row>
    <row r="33" hidden="1" spans="1:28">
      <c r="A33" s="133" t="s">
        <v>1225</v>
      </c>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42"/>
      <c r="AB33" s="137"/>
    </row>
    <row r="34" hidden="1" spans="1:28">
      <c r="A34" s="133" t="s">
        <v>1226</v>
      </c>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42"/>
      <c r="AB34" s="137"/>
    </row>
    <row r="35" hidden="1" spans="1:28">
      <c r="A35" s="133" t="s">
        <v>1227</v>
      </c>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42"/>
      <c r="AB35" s="137"/>
    </row>
    <row r="36" hidden="1" spans="1:28">
      <c r="A36" s="133" t="s">
        <v>1228</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42"/>
      <c r="AB36" s="137"/>
    </row>
    <row r="37" hidden="1" spans="1:28">
      <c r="A37" s="133" t="s">
        <v>1229</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42"/>
      <c r="AB37" s="137"/>
    </row>
    <row r="38" ht="24.6" customHeight="1" spans="1:28">
      <c r="A38" s="133" t="s">
        <v>1230</v>
      </c>
      <c r="B38" s="136">
        <f>B39+B40</f>
        <v>52766</v>
      </c>
      <c r="C38" s="136">
        <f t="shared" ref="C38:AB38" si="0">C39+C40</f>
        <v>30462</v>
      </c>
      <c r="D38" s="136">
        <f t="shared" si="0"/>
        <v>15154</v>
      </c>
      <c r="E38" s="136">
        <f t="shared" si="0"/>
        <v>3624</v>
      </c>
      <c r="F38" s="136">
        <f t="shared" si="0"/>
        <v>0</v>
      </c>
      <c r="G38" s="136">
        <f t="shared" si="0"/>
        <v>1284</v>
      </c>
      <c r="H38" s="136">
        <f t="shared" si="0"/>
        <v>2840</v>
      </c>
      <c r="I38" s="136">
        <f t="shared" si="0"/>
        <v>2036</v>
      </c>
      <c r="J38" s="136">
        <f t="shared" si="0"/>
        <v>1240</v>
      </c>
      <c r="K38" s="136">
        <f t="shared" si="0"/>
        <v>820</v>
      </c>
      <c r="L38" s="136">
        <f t="shared" si="0"/>
        <v>300</v>
      </c>
      <c r="M38" s="136">
        <f t="shared" si="0"/>
        <v>680</v>
      </c>
      <c r="N38" s="136">
        <f t="shared" si="0"/>
        <v>900</v>
      </c>
      <c r="O38" s="136">
        <f t="shared" si="0"/>
        <v>260</v>
      </c>
      <c r="P38" s="136">
        <f t="shared" si="0"/>
        <v>1300</v>
      </c>
      <c r="Q38" s="136">
        <f t="shared" si="0"/>
        <v>0</v>
      </c>
      <c r="R38" s="136">
        <f t="shared" si="0"/>
        <v>24</v>
      </c>
      <c r="S38" s="136">
        <f t="shared" si="0"/>
        <v>0</v>
      </c>
      <c r="T38" s="136">
        <f t="shared" si="0"/>
        <v>22304</v>
      </c>
      <c r="U38" s="136">
        <f t="shared" si="0"/>
        <v>2462</v>
      </c>
      <c r="V38" s="136">
        <f t="shared" si="0"/>
        <v>1800</v>
      </c>
      <c r="W38" s="136">
        <f t="shared" si="0"/>
        <v>8200</v>
      </c>
      <c r="X38" s="136">
        <f t="shared" si="0"/>
        <v>1600</v>
      </c>
      <c r="Y38" s="136">
        <f t="shared" si="0"/>
        <v>6200</v>
      </c>
      <c r="Z38" s="136">
        <f t="shared" si="0"/>
        <v>0</v>
      </c>
      <c r="AA38" s="136">
        <f t="shared" si="0"/>
        <v>60</v>
      </c>
      <c r="AB38" s="136">
        <f t="shared" si="0"/>
        <v>1982</v>
      </c>
    </row>
    <row r="39" ht="24.6" customHeight="1" spans="1:28">
      <c r="A39" s="133" t="s">
        <v>1231</v>
      </c>
      <c r="B39" s="136">
        <f>C39+T39</f>
        <v>26383</v>
      </c>
      <c r="C39" s="136">
        <f>SUM(D39:S39)</f>
        <v>15231</v>
      </c>
      <c r="D39" s="137">
        <f>表一!E7</f>
        <v>7577</v>
      </c>
      <c r="E39" s="137">
        <f>表一!E8</f>
        <v>1812</v>
      </c>
      <c r="F39" s="137">
        <f>表一!E9</f>
        <v>0</v>
      </c>
      <c r="G39" s="137">
        <f>表一!E10</f>
        <v>642</v>
      </c>
      <c r="H39" s="137">
        <f>表一!E11</f>
        <v>1420</v>
      </c>
      <c r="I39" s="137">
        <f>表一!E12</f>
        <v>1018</v>
      </c>
      <c r="J39" s="137">
        <f>表一!E13</f>
        <v>620</v>
      </c>
      <c r="K39" s="137">
        <f>表一!E14</f>
        <v>410</v>
      </c>
      <c r="L39" s="137">
        <f>表一!E15</f>
        <v>150</v>
      </c>
      <c r="M39" s="137">
        <f>表一!E16</f>
        <v>340</v>
      </c>
      <c r="N39" s="137">
        <f>表一!E17</f>
        <v>450</v>
      </c>
      <c r="O39" s="137">
        <f>表一!E18</f>
        <v>130</v>
      </c>
      <c r="P39" s="137">
        <f>表一!E19</f>
        <v>650</v>
      </c>
      <c r="Q39" s="137">
        <f>表一!E20</f>
        <v>0</v>
      </c>
      <c r="R39" s="137">
        <f>表一!E21</f>
        <v>12</v>
      </c>
      <c r="S39" s="137">
        <f>表一!E22</f>
        <v>0</v>
      </c>
      <c r="T39" s="136">
        <f>SUM(U39:AB39)</f>
        <v>11152</v>
      </c>
      <c r="U39" s="137">
        <f>表一!E24</f>
        <v>1231</v>
      </c>
      <c r="V39" s="137">
        <f>表一!E25</f>
        <v>900</v>
      </c>
      <c r="W39" s="137">
        <f>表一!E26</f>
        <v>4100</v>
      </c>
      <c r="X39" s="137">
        <f>表一!E27</f>
        <v>800</v>
      </c>
      <c r="Y39" s="137">
        <f>表一!E28</f>
        <v>3100</v>
      </c>
      <c r="Z39" s="137">
        <f>表一!E29</f>
        <v>0</v>
      </c>
      <c r="AA39" s="137">
        <f>表一!E30</f>
        <v>30</v>
      </c>
      <c r="AB39" s="137">
        <f>表一!E31</f>
        <v>991</v>
      </c>
    </row>
    <row r="40" ht="24.6" customHeight="1" spans="1:28">
      <c r="A40" s="133" t="s">
        <v>1232</v>
      </c>
      <c r="B40" s="136">
        <f>SUM(B41:B57)</f>
        <v>26383</v>
      </c>
      <c r="C40" s="136">
        <f t="shared" ref="C40:AB40" si="1">SUM(C41:C57)</f>
        <v>15231</v>
      </c>
      <c r="D40" s="136">
        <f t="shared" si="1"/>
        <v>7577</v>
      </c>
      <c r="E40" s="136">
        <f t="shared" si="1"/>
        <v>1812</v>
      </c>
      <c r="F40" s="136">
        <f t="shared" si="1"/>
        <v>0</v>
      </c>
      <c r="G40" s="136">
        <f t="shared" si="1"/>
        <v>642</v>
      </c>
      <c r="H40" s="136">
        <f t="shared" si="1"/>
        <v>1420</v>
      </c>
      <c r="I40" s="136">
        <f t="shared" si="1"/>
        <v>1018</v>
      </c>
      <c r="J40" s="136">
        <f t="shared" si="1"/>
        <v>620</v>
      </c>
      <c r="K40" s="136">
        <f t="shared" si="1"/>
        <v>410</v>
      </c>
      <c r="L40" s="136">
        <f t="shared" si="1"/>
        <v>150</v>
      </c>
      <c r="M40" s="136">
        <f t="shared" si="1"/>
        <v>340</v>
      </c>
      <c r="N40" s="136">
        <f t="shared" si="1"/>
        <v>450</v>
      </c>
      <c r="O40" s="136">
        <f t="shared" si="1"/>
        <v>130</v>
      </c>
      <c r="P40" s="136">
        <f t="shared" si="1"/>
        <v>650</v>
      </c>
      <c r="Q40" s="136">
        <f t="shared" si="1"/>
        <v>0</v>
      </c>
      <c r="R40" s="136">
        <f t="shared" si="1"/>
        <v>12</v>
      </c>
      <c r="S40" s="136">
        <f t="shared" si="1"/>
        <v>0</v>
      </c>
      <c r="T40" s="136">
        <f t="shared" si="1"/>
        <v>11152</v>
      </c>
      <c r="U40" s="136">
        <f t="shared" si="1"/>
        <v>1231</v>
      </c>
      <c r="V40" s="136">
        <f t="shared" si="1"/>
        <v>900</v>
      </c>
      <c r="W40" s="136">
        <f t="shared" si="1"/>
        <v>4100</v>
      </c>
      <c r="X40" s="136">
        <f t="shared" si="1"/>
        <v>800</v>
      </c>
      <c r="Y40" s="136">
        <f t="shared" si="1"/>
        <v>3100</v>
      </c>
      <c r="Z40" s="136">
        <f t="shared" si="1"/>
        <v>0</v>
      </c>
      <c r="AA40" s="136">
        <f t="shared" si="1"/>
        <v>30</v>
      </c>
      <c r="AB40" s="136">
        <f t="shared" si="1"/>
        <v>991</v>
      </c>
    </row>
    <row r="41" ht="24.6" customHeight="1" spans="1:28">
      <c r="A41" s="133" t="s">
        <v>1233</v>
      </c>
      <c r="B41" s="136">
        <f>C41+T41</f>
        <v>0</v>
      </c>
      <c r="C41" s="136">
        <f>SUM(D41:S41)</f>
        <v>0</v>
      </c>
      <c r="D41" s="137"/>
      <c r="E41" s="137"/>
      <c r="F41" s="137"/>
      <c r="G41" s="137"/>
      <c r="H41" s="137"/>
      <c r="I41" s="137"/>
      <c r="J41" s="137"/>
      <c r="K41" s="137"/>
      <c r="L41" s="137"/>
      <c r="M41" s="137"/>
      <c r="N41" s="137"/>
      <c r="O41" s="137"/>
      <c r="P41" s="137"/>
      <c r="Q41" s="137"/>
      <c r="R41" s="137"/>
      <c r="S41" s="137"/>
      <c r="T41" s="136">
        <f>SUM(U41:AB41)</f>
        <v>0</v>
      </c>
      <c r="U41" s="137"/>
      <c r="V41" s="137"/>
      <c r="W41" s="137"/>
      <c r="X41" s="137"/>
      <c r="Y41" s="137"/>
      <c r="Z41" s="137"/>
      <c r="AA41" s="142"/>
      <c r="AB41" s="137"/>
    </row>
    <row r="42" ht="24.6" customHeight="1" spans="1:28">
      <c r="A42" s="133" t="s">
        <v>1234</v>
      </c>
      <c r="B42" s="136">
        <f t="shared" ref="B42:B57" si="2">C42+T42</f>
        <v>0</v>
      </c>
      <c r="C42" s="136">
        <f t="shared" ref="C42:C57" si="3">SUM(D42:S42)</f>
        <v>0</v>
      </c>
      <c r="D42" s="137"/>
      <c r="E42" s="137"/>
      <c r="F42" s="137"/>
      <c r="G42" s="137"/>
      <c r="H42" s="137"/>
      <c r="I42" s="137"/>
      <c r="J42" s="137"/>
      <c r="K42" s="137"/>
      <c r="L42" s="137"/>
      <c r="M42" s="137"/>
      <c r="N42" s="137"/>
      <c r="O42" s="137"/>
      <c r="P42" s="137"/>
      <c r="Q42" s="137"/>
      <c r="R42" s="137"/>
      <c r="S42" s="137"/>
      <c r="T42" s="136">
        <f t="shared" ref="T42:T57" si="4">SUM(U42:AB42)</f>
        <v>0</v>
      </c>
      <c r="U42" s="137"/>
      <c r="V42" s="137"/>
      <c r="W42" s="137"/>
      <c r="X42" s="137"/>
      <c r="Y42" s="137"/>
      <c r="Z42" s="137"/>
      <c r="AA42" s="142"/>
      <c r="AB42" s="137"/>
    </row>
    <row r="43" ht="24.6" customHeight="1" spans="1:28">
      <c r="A43" s="133" t="s">
        <v>1235</v>
      </c>
      <c r="B43" s="136">
        <f t="shared" si="2"/>
        <v>0</v>
      </c>
      <c r="C43" s="136">
        <f t="shared" si="3"/>
        <v>0</v>
      </c>
      <c r="D43" s="137"/>
      <c r="E43" s="137"/>
      <c r="F43" s="137"/>
      <c r="G43" s="137"/>
      <c r="H43" s="137"/>
      <c r="I43" s="137"/>
      <c r="J43" s="137"/>
      <c r="K43" s="137"/>
      <c r="L43" s="137"/>
      <c r="M43" s="137"/>
      <c r="N43" s="137"/>
      <c r="O43" s="137"/>
      <c r="P43" s="137"/>
      <c r="Q43" s="137"/>
      <c r="R43" s="137"/>
      <c r="S43" s="137"/>
      <c r="T43" s="136">
        <f t="shared" si="4"/>
        <v>0</v>
      </c>
      <c r="U43" s="137"/>
      <c r="V43" s="137"/>
      <c r="W43" s="137"/>
      <c r="X43" s="137"/>
      <c r="Y43" s="137"/>
      <c r="Z43" s="137"/>
      <c r="AA43" s="142"/>
      <c r="AB43" s="137"/>
    </row>
    <row r="44" ht="24.6" customHeight="1" spans="1:28">
      <c r="A44" s="133" t="s">
        <v>1236</v>
      </c>
      <c r="B44" s="136">
        <f t="shared" si="2"/>
        <v>0</v>
      </c>
      <c r="C44" s="136">
        <f t="shared" si="3"/>
        <v>0</v>
      </c>
      <c r="D44" s="137"/>
      <c r="E44" s="137"/>
      <c r="F44" s="137"/>
      <c r="G44" s="137"/>
      <c r="H44" s="137"/>
      <c r="I44" s="137"/>
      <c r="J44" s="137"/>
      <c r="K44" s="137"/>
      <c r="L44" s="137"/>
      <c r="M44" s="137"/>
      <c r="N44" s="137"/>
      <c r="O44" s="137"/>
      <c r="P44" s="137"/>
      <c r="Q44" s="137"/>
      <c r="R44" s="137"/>
      <c r="S44" s="137"/>
      <c r="T44" s="136">
        <f t="shared" si="4"/>
        <v>0</v>
      </c>
      <c r="U44" s="137"/>
      <c r="V44" s="137"/>
      <c r="W44" s="137"/>
      <c r="X44" s="137"/>
      <c r="Y44" s="137"/>
      <c r="Z44" s="137"/>
      <c r="AA44" s="142"/>
      <c r="AB44" s="137"/>
    </row>
    <row r="45" ht="24.6" customHeight="1" spans="1:28">
      <c r="A45" s="133" t="s">
        <v>1237</v>
      </c>
      <c r="B45" s="136">
        <f t="shared" si="2"/>
        <v>0</v>
      </c>
      <c r="C45" s="136">
        <f t="shared" si="3"/>
        <v>0</v>
      </c>
      <c r="D45" s="137"/>
      <c r="E45" s="137"/>
      <c r="F45" s="137"/>
      <c r="G45" s="137"/>
      <c r="H45" s="137"/>
      <c r="I45" s="137"/>
      <c r="J45" s="137"/>
      <c r="K45" s="137"/>
      <c r="L45" s="137"/>
      <c r="M45" s="137"/>
      <c r="N45" s="137"/>
      <c r="O45" s="137"/>
      <c r="P45" s="137"/>
      <c r="Q45" s="137"/>
      <c r="R45" s="137"/>
      <c r="S45" s="137"/>
      <c r="T45" s="136">
        <f t="shared" si="4"/>
        <v>0</v>
      </c>
      <c r="U45" s="137"/>
      <c r="V45" s="137"/>
      <c r="W45" s="137"/>
      <c r="X45" s="137"/>
      <c r="Y45" s="137"/>
      <c r="Z45" s="137"/>
      <c r="AA45" s="142"/>
      <c r="AB45" s="137"/>
    </row>
    <row r="46" ht="24.6" customHeight="1" spans="1:28">
      <c r="A46" s="133" t="s">
        <v>1238</v>
      </c>
      <c r="B46" s="136">
        <f t="shared" si="2"/>
        <v>0</v>
      </c>
      <c r="C46" s="136">
        <f t="shared" si="3"/>
        <v>0</v>
      </c>
      <c r="D46" s="137"/>
      <c r="E46" s="137"/>
      <c r="F46" s="137"/>
      <c r="G46" s="137"/>
      <c r="H46" s="137"/>
      <c r="I46" s="137"/>
      <c r="J46" s="137"/>
      <c r="K46" s="137"/>
      <c r="L46" s="137"/>
      <c r="M46" s="137"/>
      <c r="N46" s="137"/>
      <c r="O46" s="137"/>
      <c r="P46" s="137"/>
      <c r="Q46" s="137"/>
      <c r="R46" s="137"/>
      <c r="S46" s="137"/>
      <c r="T46" s="136">
        <f t="shared" si="4"/>
        <v>0</v>
      </c>
      <c r="U46" s="137"/>
      <c r="V46" s="137"/>
      <c r="W46" s="137"/>
      <c r="X46" s="137"/>
      <c r="Y46" s="137"/>
      <c r="Z46" s="137"/>
      <c r="AA46" s="142"/>
      <c r="AB46" s="137"/>
    </row>
    <row r="47" ht="24.6" customHeight="1" spans="1:28">
      <c r="A47" s="133" t="s">
        <v>1239</v>
      </c>
      <c r="B47" s="136">
        <f t="shared" si="2"/>
        <v>0</v>
      </c>
      <c r="C47" s="136">
        <f t="shared" si="3"/>
        <v>0</v>
      </c>
      <c r="D47" s="137"/>
      <c r="E47" s="137"/>
      <c r="F47" s="137"/>
      <c r="G47" s="137"/>
      <c r="H47" s="137"/>
      <c r="I47" s="137"/>
      <c r="J47" s="137"/>
      <c r="K47" s="137"/>
      <c r="L47" s="137"/>
      <c r="M47" s="137"/>
      <c r="N47" s="137"/>
      <c r="O47" s="137"/>
      <c r="P47" s="137"/>
      <c r="Q47" s="137"/>
      <c r="R47" s="137"/>
      <c r="S47" s="137"/>
      <c r="T47" s="136">
        <f t="shared" si="4"/>
        <v>0</v>
      </c>
      <c r="U47" s="137"/>
      <c r="V47" s="137"/>
      <c r="W47" s="137"/>
      <c r="X47" s="137"/>
      <c r="Y47" s="137"/>
      <c r="Z47" s="137"/>
      <c r="AA47" s="142"/>
      <c r="AB47" s="137"/>
    </row>
    <row r="48" ht="24.6" customHeight="1" spans="1:28">
      <c r="A48" s="133" t="s">
        <v>1240</v>
      </c>
      <c r="B48" s="136">
        <f t="shared" si="2"/>
        <v>0</v>
      </c>
      <c r="C48" s="136">
        <f t="shared" si="3"/>
        <v>0</v>
      </c>
      <c r="D48" s="137"/>
      <c r="E48" s="137"/>
      <c r="F48" s="137"/>
      <c r="G48" s="137"/>
      <c r="H48" s="137"/>
      <c r="I48" s="137"/>
      <c r="J48" s="137"/>
      <c r="K48" s="137"/>
      <c r="L48" s="137"/>
      <c r="M48" s="137"/>
      <c r="N48" s="137"/>
      <c r="O48" s="137"/>
      <c r="P48" s="137"/>
      <c r="Q48" s="137"/>
      <c r="R48" s="137"/>
      <c r="S48" s="137"/>
      <c r="T48" s="136">
        <f t="shared" si="4"/>
        <v>0</v>
      </c>
      <c r="U48" s="137"/>
      <c r="V48" s="137"/>
      <c r="W48" s="137"/>
      <c r="X48" s="137"/>
      <c r="Y48" s="137"/>
      <c r="Z48" s="137"/>
      <c r="AA48" s="142"/>
      <c r="AB48" s="137"/>
    </row>
    <row r="49" ht="24.6" customHeight="1" spans="1:28">
      <c r="A49" s="133" t="s">
        <v>1241</v>
      </c>
      <c r="B49" s="136">
        <f t="shared" si="2"/>
        <v>0</v>
      </c>
      <c r="C49" s="136">
        <f t="shared" si="3"/>
        <v>0</v>
      </c>
      <c r="D49" s="137"/>
      <c r="E49" s="137"/>
      <c r="F49" s="137"/>
      <c r="G49" s="137"/>
      <c r="H49" s="137"/>
      <c r="I49" s="137"/>
      <c r="J49" s="137"/>
      <c r="K49" s="137"/>
      <c r="L49" s="137"/>
      <c r="M49" s="137"/>
      <c r="N49" s="137"/>
      <c r="O49" s="137"/>
      <c r="P49" s="137"/>
      <c r="Q49" s="137"/>
      <c r="R49" s="137"/>
      <c r="S49" s="137"/>
      <c r="T49" s="136">
        <f t="shared" si="4"/>
        <v>0</v>
      </c>
      <c r="U49" s="137"/>
      <c r="V49" s="137"/>
      <c r="W49" s="137"/>
      <c r="X49" s="137"/>
      <c r="Y49" s="137"/>
      <c r="Z49" s="137"/>
      <c r="AA49" s="142"/>
      <c r="AB49" s="137"/>
    </row>
    <row r="50" ht="24.6" customHeight="1" spans="1:28">
      <c r="A50" s="133" t="s">
        <v>1242</v>
      </c>
      <c r="B50" s="136">
        <f t="shared" si="2"/>
        <v>0</v>
      </c>
      <c r="C50" s="136">
        <f t="shared" si="3"/>
        <v>0</v>
      </c>
      <c r="D50" s="137"/>
      <c r="E50" s="137"/>
      <c r="F50" s="137"/>
      <c r="G50" s="137"/>
      <c r="H50" s="137"/>
      <c r="I50" s="137"/>
      <c r="J50" s="137"/>
      <c r="K50" s="137"/>
      <c r="L50" s="137"/>
      <c r="M50" s="137"/>
      <c r="N50" s="137"/>
      <c r="O50" s="137"/>
      <c r="P50" s="137"/>
      <c r="Q50" s="137"/>
      <c r="R50" s="137"/>
      <c r="S50" s="137"/>
      <c r="T50" s="136">
        <f t="shared" si="4"/>
        <v>0</v>
      </c>
      <c r="U50" s="137"/>
      <c r="V50" s="137"/>
      <c r="W50" s="137"/>
      <c r="X50" s="137"/>
      <c r="Y50" s="137"/>
      <c r="Z50" s="137"/>
      <c r="AA50" s="142"/>
      <c r="AB50" s="137"/>
    </row>
    <row r="51" ht="24.6" customHeight="1" spans="1:28">
      <c r="A51" s="133" t="s">
        <v>1243</v>
      </c>
      <c r="B51" s="136">
        <f t="shared" si="2"/>
        <v>26383</v>
      </c>
      <c r="C51" s="136">
        <f t="shared" si="3"/>
        <v>15231</v>
      </c>
      <c r="D51" s="137">
        <v>7577</v>
      </c>
      <c r="E51" s="137">
        <v>1812</v>
      </c>
      <c r="F51" s="137">
        <v>0</v>
      </c>
      <c r="G51" s="137">
        <v>642</v>
      </c>
      <c r="H51" s="137">
        <v>1420</v>
      </c>
      <c r="I51" s="137">
        <v>1018</v>
      </c>
      <c r="J51" s="137">
        <v>620</v>
      </c>
      <c r="K51" s="137">
        <v>410</v>
      </c>
      <c r="L51" s="137">
        <v>150</v>
      </c>
      <c r="M51" s="137">
        <v>340</v>
      </c>
      <c r="N51" s="137">
        <v>450</v>
      </c>
      <c r="O51" s="137">
        <v>130</v>
      </c>
      <c r="P51" s="137">
        <v>650</v>
      </c>
      <c r="Q51" s="137">
        <v>0</v>
      </c>
      <c r="R51" s="137">
        <v>12</v>
      </c>
      <c r="S51" s="137">
        <v>0</v>
      </c>
      <c r="T51" s="136">
        <f t="shared" si="4"/>
        <v>11152</v>
      </c>
      <c r="U51" s="137">
        <v>1231</v>
      </c>
      <c r="V51" s="137">
        <v>900</v>
      </c>
      <c r="W51" s="137">
        <v>4100</v>
      </c>
      <c r="X51" s="137">
        <v>800</v>
      </c>
      <c r="Y51" s="137">
        <v>3100</v>
      </c>
      <c r="Z51" s="137">
        <v>0</v>
      </c>
      <c r="AA51" s="142">
        <v>30</v>
      </c>
      <c r="AB51" s="137">
        <v>991</v>
      </c>
    </row>
    <row r="52" ht="24.6" customHeight="1" spans="1:28">
      <c r="A52" s="133" t="s">
        <v>1244</v>
      </c>
      <c r="B52" s="136">
        <f t="shared" si="2"/>
        <v>0</v>
      </c>
      <c r="C52" s="136">
        <f t="shared" si="3"/>
        <v>0</v>
      </c>
      <c r="D52" s="137"/>
      <c r="E52" s="137"/>
      <c r="F52" s="137"/>
      <c r="G52" s="137"/>
      <c r="H52" s="137"/>
      <c r="I52" s="137"/>
      <c r="J52" s="137"/>
      <c r="K52" s="137"/>
      <c r="L52" s="137"/>
      <c r="M52" s="137"/>
      <c r="N52" s="137"/>
      <c r="O52" s="137"/>
      <c r="P52" s="137"/>
      <c r="Q52" s="137"/>
      <c r="R52" s="137"/>
      <c r="S52" s="137"/>
      <c r="T52" s="136">
        <f t="shared" si="4"/>
        <v>0</v>
      </c>
      <c r="U52" s="137"/>
      <c r="V52" s="137"/>
      <c r="W52" s="137"/>
      <c r="X52" s="137"/>
      <c r="Y52" s="137"/>
      <c r="Z52" s="137"/>
      <c r="AA52" s="142"/>
      <c r="AB52" s="137"/>
    </row>
    <row r="53" ht="24.6" customHeight="1" spans="1:28">
      <c r="A53" s="133" t="s">
        <v>1245</v>
      </c>
      <c r="B53" s="136">
        <f t="shared" si="2"/>
        <v>0</v>
      </c>
      <c r="C53" s="136">
        <f t="shared" si="3"/>
        <v>0</v>
      </c>
      <c r="D53" s="137"/>
      <c r="E53" s="137"/>
      <c r="F53" s="137"/>
      <c r="G53" s="137"/>
      <c r="H53" s="137"/>
      <c r="I53" s="137"/>
      <c r="J53" s="137"/>
      <c r="K53" s="137"/>
      <c r="L53" s="137"/>
      <c r="M53" s="137"/>
      <c r="N53" s="137"/>
      <c r="O53" s="137"/>
      <c r="P53" s="137"/>
      <c r="Q53" s="137"/>
      <c r="R53" s="137"/>
      <c r="S53" s="137"/>
      <c r="T53" s="136">
        <f t="shared" si="4"/>
        <v>0</v>
      </c>
      <c r="U53" s="137"/>
      <c r="V53" s="137"/>
      <c r="W53" s="137"/>
      <c r="X53" s="137"/>
      <c r="Y53" s="137"/>
      <c r="Z53" s="137"/>
      <c r="AA53" s="142"/>
      <c r="AB53" s="137"/>
    </row>
    <row r="54" ht="24.6" customHeight="1" spans="1:28">
      <c r="A54" s="133" t="s">
        <v>1246</v>
      </c>
      <c r="B54" s="136">
        <f t="shared" si="2"/>
        <v>0</v>
      </c>
      <c r="C54" s="136">
        <f t="shared" si="3"/>
        <v>0</v>
      </c>
      <c r="D54" s="137"/>
      <c r="E54" s="137"/>
      <c r="F54" s="137"/>
      <c r="G54" s="137"/>
      <c r="H54" s="137"/>
      <c r="I54" s="137"/>
      <c r="J54" s="137"/>
      <c r="K54" s="137"/>
      <c r="L54" s="137"/>
      <c r="M54" s="137"/>
      <c r="N54" s="137"/>
      <c r="O54" s="137"/>
      <c r="P54" s="137"/>
      <c r="Q54" s="137"/>
      <c r="R54" s="137"/>
      <c r="S54" s="137"/>
      <c r="T54" s="136">
        <f t="shared" si="4"/>
        <v>0</v>
      </c>
      <c r="U54" s="137"/>
      <c r="V54" s="137"/>
      <c r="W54" s="137"/>
      <c r="X54" s="137"/>
      <c r="Y54" s="137"/>
      <c r="Z54" s="137"/>
      <c r="AA54" s="142"/>
      <c r="AB54" s="137"/>
    </row>
    <row r="55" ht="24.6" customHeight="1" spans="1:28">
      <c r="A55" s="133" t="s">
        <v>1247</v>
      </c>
      <c r="B55" s="136">
        <f t="shared" si="2"/>
        <v>0</v>
      </c>
      <c r="C55" s="136">
        <f t="shared" si="3"/>
        <v>0</v>
      </c>
      <c r="D55" s="137"/>
      <c r="E55" s="137"/>
      <c r="F55" s="137"/>
      <c r="G55" s="137"/>
      <c r="H55" s="137"/>
      <c r="I55" s="137"/>
      <c r="J55" s="137"/>
      <c r="K55" s="137"/>
      <c r="L55" s="137"/>
      <c r="M55" s="137"/>
      <c r="N55" s="137"/>
      <c r="O55" s="137"/>
      <c r="P55" s="137"/>
      <c r="Q55" s="137"/>
      <c r="R55" s="137"/>
      <c r="S55" s="137"/>
      <c r="T55" s="136">
        <f t="shared" si="4"/>
        <v>0</v>
      </c>
      <c r="U55" s="137"/>
      <c r="V55" s="137"/>
      <c r="W55" s="137"/>
      <c r="X55" s="137"/>
      <c r="Y55" s="137"/>
      <c r="Z55" s="137"/>
      <c r="AA55" s="142"/>
      <c r="AB55" s="137"/>
    </row>
    <row r="56" ht="24.6" customHeight="1" spans="1:28">
      <c r="A56" s="133" t="s">
        <v>1248</v>
      </c>
      <c r="B56" s="136">
        <f t="shared" si="2"/>
        <v>0</v>
      </c>
      <c r="C56" s="136">
        <f t="shared" si="3"/>
        <v>0</v>
      </c>
      <c r="D56" s="137"/>
      <c r="E56" s="137"/>
      <c r="F56" s="137"/>
      <c r="G56" s="137"/>
      <c r="H56" s="137"/>
      <c r="I56" s="137"/>
      <c r="J56" s="137"/>
      <c r="K56" s="137"/>
      <c r="L56" s="137"/>
      <c r="M56" s="137"/>
      <c r="N56" s="137"/>
      <c r="O56" s="137"/>
      <c r="P56" s="137"/>
      <c r="Q56" s="137"/>
      <c r="R56" s="137"/>
      <c r="S56" s="137"/>
      <c r="T56" s="136">
        <f t="shared" si="4"/>
        <v>0</v>
      </c>
      <c r="U56" s="137"/>
      <c r="V56" s="137"/>
      <c r="W56" s="137"/>
      <c r="X56" s="137"/>
      <c r="Y56" s="137"/>
      <c r="Z56" s="137"/>
      <c r="AA56" s="142"/>
      <c r="AB56" s="137"/>
    </row>
    <row r="57" ht="24.6" customHeight="1" spans="1:28">
      <c r="A57" s="133" t="s">
        <v>1249</v>
      </c>
      <c r="B57" s="136">
        <f t="shared" si="2"/>
        <v>0</v>
      </c>
      <c r="C57" s="136">
        <f t="shared" si="3"/>
        <v>0</v>
      </c>
      <c r="D57" s="137"/>
      <c r="E57" s="137"/>
      <c r="F57" s="137"/>
      <c r="G57" s="137"/>
      <c r="H57" s="137"/>
      <c r="I57" s="137"/>
      <c r="J57" s="137"/>
      <c r="K57" s="137"/>
      <c r="L57" s="137"/>
      <c r="M57" s="137"/>
      <c r="N57" s="137"/>
      <c r="O57" s="137"/>
      <c r="P57" s="137"/>
      <c r="Q57" s="137"/>
      <c r="R57" s="137"/>
      <c r="S57" s="137"/>
      <c r="T57" s="136">
        <f t="shared" si="4"/>
        <v>0</v>
      </c>
      <c r="U57" s="137"/>
      <c r="V57" s="137"/>
      <c r="W57" s="137"/>
      <c r="X57" s="137"/>
      <c r="Y57" s="137"/>
      <c r="Z57" s="137"/>
      <c r="AA57" s="142"/>
      <c r="AB57" s="137"/>
    </row>
    <row r="58" hidden="1" spans="1:28">
      <c r="A58" s="133" t="s">
        <v>1250</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42"/>
      <c r="AB58" s="137"/>
    </row>
    <row r="59" hidden="1" spans="1:28">
      <c r="A59" s="133" t="s">
        <v>1251</v>
      </c>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42"/>
      <c r="AB59" s="137"/>
    </row>
    <row r="60" hidden="1" spans="1:28">
      <c r="A60" s="133" t="s">
        <v>1252</v>
      </c>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42"/>
      <c r="AB60" s="137"/>
    </row>
    <row r="61" hidden="1" spans="1:28">
      <c r="A61" s="133" t="s">
        <v>1253</v>
      </c>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42"/>
      <c r="AB61" s="137"/>
    </row>
    <row r="62" hidden="1" spans="1:28">
      <c r="A62" s="133" t="s">
        <v>1254</v>
      </c>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42"/>
      <c r="AB62" s="137"/>
    </row>
    <row r="63" hidden="1" spans="1:28">
      <c r="A63" s="133" t="s">
        <v>1255</v>
      </c>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42"/>
      <c r="AB63" s="137"/>
    </row>
    <row r="64" hidden="1" spans="1:28">
      <c r="A64" s="133" t="s">
        <v>1256</v>
      </c>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42"/>
      <c r="AB64" s="137"/>
    </row>
    <row r="65" hidden="1" spans="1:28">
      <c r="A65" s="133" t="s">
        <v>1257</v>
      </c>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42"/>
      <c r="AB65" s="137"/>
    </row>
    <row r="66" hidden="1" spans="1:28">
      <c r="A66" s="133" t="s">
        <v>1258</v>
      </c>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42"/>
      <c r="AB66" s="137"/>
    </row>
    <row r="67" hidden="1" spans="1:28">
      <c r="A67" s="133" t="s">
        <v>1259</v>
      </c>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42"/>
      <c r="AB67" s="137"/>
    </row>
    <row r="68" hidden="1" spans="1:28">
      <c r="A68" s="133" t="s">
        <v>1260</v>
      </c>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42"/>
      <c r="AB68" s="137"/>
    </row>
    <row r="69" hidden="1" spans="1:28">
      <c r="A69" s="133" t="s">
        <v>1261</v>
      </c>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42"/>
      <c r="AB69" s="137"/>
    </row>
    <row r="70" hidden="1" spans="1:28">
      <c r="A70" s="133" t="s">
        <v>1262</v>
      </c>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42"/>
      <c r="AB70" s="137"/>
    </row>
    <row r="71" hidden="1" spans="1:28">
      <c r="A71" s="133" t="s">
        <v>1263</v>
      </c>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42"/>
      <c r="AB71" s="137"/>
    </row>
    <row r="72" hidden="1" spans="1:28">
      <c r="A72" s="133" t="s">
        <v>1264</v>
      </c>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42"/>
      <c r="AB72" s="137"/>
    </row>
    <row r="73" hidden="1" spans="1:28">
      <c r="A73" s="133" t="s">
        <v>1265</v>
      </c>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42"/>
      <c r="AB73" s="137"/>
    </row>
    <row r="74" hidden="1" spans="1:28">
      <c r="A74" s="133" t="s">
        <v>1266</v>
      </c>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42"/>
      <c r="AB74" s="137"/>
    </row>
    <row r="75" hidden="1" spans="1:28">
      <c r="A75" s="133" t="s">
        <v>1267</v>
      </c>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42"/>
      <c r="AB75" s="137"/>
    </row>
    <row r="76" hidden="1" spans="1:28">
      <c r="A76" s="133" t="s">
        <v>1268</v>
      </c>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42"/>
      <c r="AB76" s="137"/>
    </row>
    <row r="77" hidden="1" spans="1:28">
      <c r="A77" s="133" t="s">
        <v>1269</v>
      </c>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42"/>
      <c r="AB77" s="137"/>
    </row>
    <row r="78" hidden="1" spans="1:28">
      <c r="A78" s="133" t="s">
        <v>1270</v>
      </c>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42"/>
      <c r="AB78" s="137"/>
    </row>
    <row r="79" hidden="1" spans="1:28">
      <c r="A79" s="133" t="s">
        <v>1271</v>
      </c>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42"/>
      <c r="AB79" s="137"/>
    </row>
    <row r="80" hidden="1" spans="1:28">
      <c r="A80" s="133" t="s">
        <v>1272</v>
      </c>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42"/>
      <c r="AB80" s="137"/>
    </row>
    <row r="81" hidden="1" spans="1:28">
      <c r="A81" s="133" t="s">
        <v>1273</v>
      </c>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42"/>
      <c r="AB81" s="137"/>
    </row>
    <row r="82" hidden="1" spans="1:28">
      <c r="A82" s="133" t="s">
        <v>1274</v>
      </c>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42"/>
      <c r="AB82" s="137"/>
    </row>
    <row r="83" hidden="1" spans="1:28">
      <c r="A83" s="133" t="s">
        <v>1275</v>
      </c>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42"/>
      <c r="AB83" s="137"/>
    </row>
    <row r="84" hidden="1" spans="1:28">
      <c r="A84" s="133" t="s">
        <v>1276</v>
      </c>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42"/>
      <c r="AB84" s="137"/>
    </row>
    <row r="85" hidden="1" spans="1:28">
      <c r="A85" s="133" t="s">
        <v>1277</v>
      </c>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42"/>
      <c r="AB85" s="137"/>
    </row>
    <row r="86" hidden="1" spans="1:28">
      <c r="A86" s="133" t="s">
        <v>1278</v>
      </c>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42"/>
      <c r="AB86" s="137"/>
    </row>
    <row r="87" hidden="1" spans="1:28">
      <c r="A87" s="133" t="s">
        <v>1279</v>
      </c>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42"/>
      <c r="AB87" s="137"/>
    </row>
    <row r="88" hidden="1" spans="1:28">
      <c r="A88" s="133" t="s">
        <v>1280</v>
      </c>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42"/>
      <c r="AB88" s="137"/>
    </row>
    <row r="89" hidden="1" spans="1:28">
      <c r="A89" s="133" t="s">
        <v>1281</v>
      </c>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42"/>
      <c r="AB89" s="137"/>
    </row>
    <row r="90" hidden="1" spans="1:28">
      <c r="A90" s="133" t="s">
        <v>1282</v>
      </c>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42"/>
      <c r="AB90" s="137"/>
    </row>
    <row r="91" hidden="1" spans="1:28">
      <c r="A91" s="133" t="s">
        <v>1283</v>
      </c>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42"/>
      <c r="AB91" s="137"/>
    </row>
    <row r="92" hidden="1" spans="1:28">
      <c r="A92" s="133" t="s">
        <v>1284</v>
      </c>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42"/>
      <c r="AB92" s="137"/>
    </row>
    <row r="93" hidden="1" spans="1:28">
      <c r="A93" s="133" t="s">
        <v>1285</v>
      </c>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42"/>
      <c r="AB93" s="137"/>
    </row>
    <row r="94" hidden="1" spans="1:28">
      <c r="A94" s="133" t="s">
        <v>1286</v>
      </c>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42"/>
      <c r="AB94" s="137"/>
    </row>
    <row r="95" hidden="1" spans="1:28">
      <c r="A95" s="133" t="s">
        <v>1287</v>
      </c>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42"/>
      <c r="AB95" s="137"/>
    </row>
    <row r="96" hidden="1" spans="1:28">
      <c r="A96" s="133" t="s">
        <v>1288</v>
      </c>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42"/>
      <c r="AB96" s="137"/>
    </row>
    <row r="97" hidden="1" spans="1:28">
      <c r="A97" s="133" t="s">
        <v>1289</v>
      </c>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42"/>
      <c r="AB97" s="137"/>
    </row>
    <row r="98" hidden="1" spans="1:28">
      <c r="A98" s="133" t="s">
        <v>1290</v>
      </c>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42"/>
      <c r="AB98" s="137"/>
    </row>
    <row r="99" hidden="1" spans="1:28">
      <c r="A99" s="133" t="s">
        <v>1291</v>
      </c>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42"/>
      <c r="AB99" s="137"/>
    </row>
    <row r="100" hidden="1" spans="1:28">
      <c r="A100" s="133" t="s">
        <v>1292</v>
      </c>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42"/>
      <c r="AB100" s="137"/>
    </row>
    <row r="101" hidden="1" spans="1:28">
      <c r="A101" s="133" t="s">
        <v>1293</v>
      </c>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42"/>
      <c r="AB101" s="137"/>
    </row>
    <row r="102" hidden="1" spans="1:28">
      <c r="A102" s="133" t="s">
        <v>1294</v>
      </c>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42"/>
      <c r="AB102" s="137"/>
    </row>
    <row r="103" hidden="1" spans="1:28">
      <c r="A103" s="133" t="s">
        <v>1295</v>
      </c>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42"/>
      <c r="AB103" s="137"/>
    </row>
    <row r="104" hidden="1" spans="1:28">
      <c r="A104" s="133" t="s">
        <v>1296</v>
      </c>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42"/>
      <c r="AB104" s="137"/>
    </row>
    <row r="105" hidden="1" spans="1:28">
      <c r="A105" s="133" t="s">
        <v>1297</v>
      </c>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42"/>
      <c r="AB105" s="137"/>
    </row>
    <row r="106" hidden="1" spans="1:28">
      <c r="A106" s="133" t="s">
        <v>1298</v>
      </c>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42"/>
      <c r="AB106" s="137"/>
    </row>
    <row r="107" hidden="1" spans="1:28">
      <c r="A107" s="133" t="s">
        <v>1299</v>
      </c>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42"/>
      <c r="AB107" s="137"/>
    </row>
    <row r="108" hidden="1" spans="1:28">
      <c r="A108" s="133" t="s">
        <v>1300</v>
      </c>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42"/>
      <c r="AB108" s="137"/>
    </row>
    <row r="109" hidden="1" spans="1:28">
      <c r="A109" s="133" t="s">
        <v>1301</v>
      </c>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42"/>
      <c r="AB109" s="137"/>
    </row>
    <row r="110" hidden="1" spans="1:28">
      <c r="A110" s="133" t="s">
        <v>1302</v>
      </c>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42"/>
      <c r="AB110" s="137"/>
    </row>
    <row r="111" hidden="1" spans="1:28">
      <c r="A111" s="133" t="s">
        <v>1303</v>
      </c>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42"/>
      <c r="AB111" s="137"/>
    </row>
    <row r="112" hidden="1" spans="1:28">
      <c r="A112" s="133" t="s">
        <v>1304</v>
      </c>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42"/>
      <c r="AB112" s="137"/>
    </row>
    <row r="113" hidden="1" spans="1:28">
      <c r="A113" s="133" t="s">
        <v>1305</v>
      </c>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42"/>
      <c r="AB113" s="137"/>
    </row>
    <row r="114" hidden="1" spans="1:28">
      <c r="A114" s="133" t="s">
        <v>1306</v>
      </c>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42"/>
      <c r="AB114" s="137"/>
    </row>
    <row r="115" hidden="1" spans="1:28">
      <c r="A115" s="133" t="s">
        <v>1307</v>
      </c>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42"/>
      <c r="AB115" s="137"/>
    </row>
    <row r="116" hidden="1" spans="1:28">
      <c r="A116" s="133" t="s">
        <v>1308</v>
      </c>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42"/>
      <c r="AB116" s="137"/>
    </row>
    <row r="117" hidden="1" spans="1:28">
      <c r="A117" s="133" t="s">
        <v>1309</v>
      </c>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42"/>
      <c r="AB117" s="137"/>
    </row>
    <row r="118" hidden="1" spans="1:28">
      <c r="A118" s="133" t="s">
        <v>1310</v>
      </c>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142"/>
      <c r="AB118" s="137"/>
    </row>
    <row r="119" hidden="1" spans="1:28">
      <c r="A119" s="133" t="s">
        <v>1311</v>
      </c>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42"/>
      <c r="AB119" s="137"/>
    </row>
    <row r="120" hidden="1" spans="1:28">
      <c r="A120" s="133" t="s">
        <v>1312</v>
      </c>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42"/>
      <c r="AB120" s="137"/>
    </row>
    <row r="121" hidden="1" spans="1:28">
      <c r="A121" s="133" t="s">
        <v>1313</v>
      </c>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42"/>
      <c r="AB121" s="137"/>
    </row>
    <row r="122" hidden="1" spans="1:28">
      <c r="A122" s="133" t="s">
        <v>1314</v>
      </c>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42"/>
      <c r="AB122" s="137"/>
    </row>
    <row r="123" hidden="1" spans="1:28">
      <c r="A123" s="133" t="s">
        <v>1315</v>
      </c>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42"/>
      <c r="AB123" s="137"/>
    </row>
    <row r="124" hidden="1" spans="1:28">
      <c r="A124" s="133" t="s">
        <v>1316</v>
      </c>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42"/>
      <c r="AB124" s="137"/>
    </row>
    <row r="125" hidden="1" spans="1:28">
      <c r="A125" s="133" t="s">
        <v>1317</v>
      </c>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42"/>
      <c r="AB125" s="137"/>
    </row>
    <row r="126" hidden="1" spans="1:28">
      <c r="A126" s="133" t="s">
        <v>1318</v>
      </c>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42"/>
      <c r="AB126" s="137"/>
    </row>
    <row r="127" hidden="1" spans="1:28">
      <c r="A127" s="133" t="s">
        <v>1319</v>
      </c>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42"/>
      <c r="AB127" s="137"/>
    </row>
    <row r="128" hidden="1" spans="1:28">
      <c r="A128" s="133" t="s">
        <v>1320</v>
      </c>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42"/>
      <c r="AB128" s="137"/>
    </row>
    <row r="129" hidden="1" spans="1:28">
      <c r="A129" s="133" t="s">
        <v>1321</v>
      </c>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42"/>
      <c r="AB129" s="137"/>
    </row>
    <row r="130" hidden="1" spans="1:28">
      <c r="A130" s="133" t="s">
        <v>1322</v>
      </c>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42"/>
      <c r="AB130" s="137"/>
    </row>
    <row r="131" hidden="1" spans="1:28">
      <c r="A131" s="133" t="s">
        <v>1323</v>
      </c>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42"/>
      <c r="AB131" s="137"/>
    </row>
    <row r="132" hidden="1" spans="1:28">
      <c r="A132" s="133" t="s">
        <v>1324</v>
      </c>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42"/>
      <c r="AB132" s="137"/>
    </row>
    <row r="133" hidden="1" spans="1:28">
      <c r="A133" s="133" t="s">
        <v>1325</v>
      </c>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42"/>
      <c r="AB133" s="137"/>
    </row>
    <row r="134" hidden="1" spans="1:28">
      <c r="A134" s="133" t="s">
        <v>1326</v>
      </c>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42"/>
      <c r="AB134" s="137"/>
    </row>
    <row r="135" hidden="1" spans="1:28">
      <c r="A135" s="133" t="s">
        <v>1327</v>
      </c>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42"/>
      <c r="AB135" s="137"/>
    </row>
    <row r="136" hidden="1" spans="1:28">
      <c r="A136" s="133" t="s">
        <v>1328</v>
      </c>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42"/>
      <c r="AB136" s="137"/>
    </row>
    <row r="137" hidden="1" spans="1:28">
      <c r="A137" s="133" t="s">
        <v>1329</v>
      </c>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42"/>
      <c r="AB137" s="137"/>
    </row>
    <row r="138" hidden="1" spans="1:28">
      <c r="A138" s="133" t="s">
        <v>1330</v>
      </c>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42"/>
      <c r="AB138" s="137"/>
    </row>
    <row r="139" hidden="1" spans="1:28">
      <c r="A139" s="133" t="s">
        <v>1331</v>
      </c>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42"/>
      <c r="AB139" s="137"/>
    </row>
    <row r="140" hidden="1" spans="1:28">
      <c r="A140" s="133" t="s">
        <v>1332</v>
      </c>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42"/>
      <c r="AB140" s="137"/>
    </row>
    <row r="141" hidden="1" spans="1:28">
      <c r="A141" s="133" t="s">
        <v>1333</v>
      </c>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42"/>
      <c r="AB141" s="137"/>
    </row>
    <row r="142" hidden="1" spans="1:28">
      <c r="A142" s="133" t="s">
        <v>1334</v>
      </c>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42"/>
      <c r="AB142" s="137"/>
    </row>
    <row r="143" hidden="1" spans="1:28">
      <c r="A143" s="133" t="s">
        <v>1335</v>
      </c>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42"/>
      <c r="AB143" s="137"/>
    </row>
    <row r="144" hidden="1" spans="1:28">
      <c r="A144" s="133" t="s">
        <v>1336</v>
      </c>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42"/>
      <c r="AB144" s="137"/>
    </row>
    <row r="145" hidden="1" spans="1:28">
      <c r="A145" s="133" t="s">
        <v>1337</v>
      </c>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42"/>
      <c r="AB145" s="137"/>
    </row>
    <row r="146" hidden="1" spans="1:28">
      <c r="A146" s="133" t="s">
        <v>1338</v>
      </c>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42"/>
      <c r="AB146" s="137"/>
    </row>
    <row r="147" hidden="1" spans="1:28">
      <c r="A147" s="133" t="s">
        <v>1339</v>
      </c>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42"/>
      <c r="AB147" s="137"/>
    </row>
    <row r="148" hidden="1" spans="1:28">
      <c r="A148" s="133" t="s">
        <v>1340</v>
      </c>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42"/>
      <c r="AB148" s="137"/>
    </row>
    <row r="149" hidden="1" spans="1:28">
      <c r="A149" s="133" t="s">
        <v>1341</v>
      </c>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142"/>
      <c r="AB149" s="137"/>
    </row>
    <row r="150" hidden="1" spans="1:28">
      <c r="A150" s="133" t="s">
        <v>1342</v>
      </c>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42"/>
      <c r="AB150" s="137"/>
    </row>
    <row r="151" hidden="1" spans="1:28">
      <c r="A151" s="133" t="s">
        <v>1343</v>
      </c>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42"/>
      <c r="AB151" s="137"/>
    </row>
    <row r="152" hidden="1" spans="1:28">
      <c r="A152" s="133" t="s">
        <v>1344</v>
      </c>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42"/>
      <c r="AB152" s="137"/>
    </row>
    <row r="153" hidden="1" spans="1:28">
      <c r="A153" s="133" t="s">
        <v>1345</v>
      </c>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42"/>
      <c r="AB153" s="137"/>
    </row>
    <row r="154" hidden="1" spans="1:28">
      <c r="A154" s="133" t="s">
        <v>1346</v>
      </c>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42"/>
      <c r="AB154" s="137"/>
    </row>
    <row r="155" hidden="1" spans="1:28">
      <c r="A155" s="133" t="s">
        <v>1347</v>
      </c>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42"/>
      <c r="AB155" s="137"/>
    </row>
    <row r="156" hidden="1" spans="1:28">
      <c r="A156" s="133" t="s">
        <v>1348</v>
      </c>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42"/>
      <c r="AB156" s="137"/>
    </row>
    <row r="157" hidden="1" spans="1:28">
      <c r="A157" s="133" t="s">
        <v>1349</v>
      </c>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42"/>
      <c r="AB157" s="137"/>
    </row>
    <row r="158" hidden="1" spans="1:28">
      <c r="A158" s="133" t="s">
        <v>1350</v>
      </c>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42"/>
      <c r="AB158" s="137"/>
    </row>
    <row r="159" hidden="1" spans="1:28">
      <c r="A159" s="133" t="s">
        <v>1351</v>
      </c>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42"/>
      <c r="AB159" s="137"/>
    </row>
    <row r="160" hidden="1" spans="1:28">
      <c r="A160" s="133" t="s">
        <v>1352</v>
      </c>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42"/>
      <c r="AB160" s="137"/>
    </row>
    <row r="161" hidden="1" spans="1:28">
      <c r="A161" s="133" t="s">
        <v>1353</v>
      </c>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42"/>
      <c r="AB161" s="137"/>
    </row>
    <row r="162" hidden="1" spans="1:28">
      <c r="A162" s="133" t="s">
        <v>1354</v>
      </c>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42"/>
      <c r="AB162" s="137"/>
    </row>
  </sheetData>
  <mergeCells count="5">
    <mergeCell ref="A2:AB2"/>
    <mergeCell ref="C5:S5"/>
    <mergeCell ref="T5:AB5"/>
    <mergeCell ref="A4:A6"/>
    <mergeCell ref="B5:B6"/>
  </mergeCells>
  <printOptions horizontalCentered="1" verticalCentered="1"/>
  <pageMargins left="0.393700787401575" right="0.393700787401575" top="0.590551181102362" bottom="0.62992125984252" header="0.393700787401575" footer="0.393700787401575"/>
  <pageSetup paperSize="9" scale="55" firstPageNumber="59" orientation="landscape" useFirstPageNumber="1"/>
  <headerFooter differentOddEven="1">
    <oddFooter>&amp;L&amp;16—&amp;P—</oddFooter>
    <evenFooter>&amp;R&amp;16—&amp;P—</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1"/>
  <sheetViews>
    <sheetView showGridLines="0" showZeros="0" zoomScale="70" zoomScaleNormal="70" workbookViewId="0">
      <pane ySplit="5" topLeftCell="A6" activePane="bottomLeft" state="frozen"/>
      <selection/>
      <selection pane="bottomLeft" activeCell="I53" sqref="I53"/>
    </sheetView>
  </sheetViews>
  <sheetFormatPr defaultColWidth="5.7" defaultRowHeight="13.5"/>
  <cols>
    <col min="1" max="1" width="21.2" style="127" customWidth="1"/>
    <col min="2" max="2" width="13.3" style="127" customWidth="1"/>
    <col min="3" max="15" width="9.7" style="127" customWidth="1"/>
    <col min="16" max="16" width="9.7" style="128" customWidth="1"/>
    <col min="17" max="18" width="9.7" style="127" customWidth="1"/>
    <col min="19" max="26" width="8.6" style="127" customWidth="1"/>
    <col min="27" max="16384" width="5.7" style="127"/>
  </cols>
  <sheetData>
    <row r="1" ht="14.25" spans="1:1">
      <c r="A1" s="36" t="s">
        <v>1355</v>
      </c>
    </row>
    <row r="2" s="126" customFormat="1" ht="34.05" customHeight="1" spans="1:26">
      <c r="A2" s="37" t="s">
        <v>1169</v>
      </c>
      <c r="B2" s="26"/>
      <c r="C2" s="26"/>
      <c r="D2" s="26"/>
      <c r="E2" s="26"/>
      <c r="F2" s="26"/>
      <c r="G2" s="26"/>
      <c r="H2" s="26"/>
      <c r="I2" s="26"/>
      <c r="J2" s="26"/>
      <c r="K2" s="26"/>
      <c r="L2" s="26"/>
      <c r="M2" s="26"/>
      <c r="N2" s="26"/>
      <c r="O2" s="26"/>
      <c r="P2" s="26"/>
      <c r="Q2" s="26"/>
      <c r="R2" s="26"/>
      <c r="S2" s="26"/>
      <c r="T2" s="26"/>
      <c r="U2" s="26"/>
      <c r="V2" s="26"/>
      <c r="W2" s="26"/>
      <c r="X2" s="26"/>
      <c r="Y2" s="26"/>
      <c r="Z2" s="26"/>
    </row>
    <row r="3" ht="17.1" customHeight="1" spans="1:26">
      <c r="A3" s="129"/>
      <c r="B3" s="129" t="s">
        <v>5</v>
      </c>
      <c r="C3" s="129"/>
      <c r="D3" s="129"/>
      <c r="E3" s="129"/>
      <c r="F3" s="129"/>
      <c r="G3" s="129"/>
      <c r="H3" s="129"/>
      <c r="I3" s="129"/>
      <c r="J3" s="129"/>
      <c r="K3" s="129"/>
      <c r="L3" s="129"/>
      <c r="M3" s="129"/>
      <c r="N3" s="129"/>
      <c r="O3" s="129"/>
      <c r="P3" s="138"/>
      <c r="Q3" s="129"/>
      <c r="R3" s="129"/>
      <c r="S3" s="129"/>
      <c r="T3" s="129"/>
      <c r="U3" s="129"/>
      <c r="V3" s="129"/>
      <c r="W3" s="129"/>
      <c r="X3" s="129"/>
      <c r="Y3" s="129"/>
      <c r="Z3" s="129" t="s">
        <v>26</v>
      </c>
    </row>
    <row r="4" ht="31.5" customHeight="1" spans="1:26">
      <c r="A4" s="130" t="s">
        <v>1170</v>
      </c>
      <c r="B4" s="131" t="s">
        <v>1356</v>
      </c>
      <c r="C4" s="131"/>
      <c r="D4" s="131"/>
      <c r="E4" s="131"/>
      <c r="F4" s="131"/>
      <c r="G4" s="131"/>
      <c r="H4" s="131"/>
      <c r="I4" s="131"/>
      <c r="J4" s="131"/>
      <c r="K4" s="131"/>
      <c r="L4" s="131"/>
      <c r="M4" s="131"/>
      <c r="N4" s="131"/>
      <c r="O4" s="131"/>
      <c r="P4" s="139"/>
      <c r="Q4" s="131"/>
      <c r="R4" s="131"/>
      <c r="S4" s="131"/>
      <c r="T4" s="131"/>
      <c r="U4" s="131"/>
      <c r="V4" s="131"/>
      <c r="W4" s="131"/>
      <c r="X4" s="131"/>
      <c r="Y4" s="131"/>
      <c r="Z4" s="131"/>
    </row>
    <row r="5" ht="61.95" customHeight="1" spans="1:26">
      <c r="A5" s="130"/>
      <c r="B5" s="132" t="s">
        <v>1357</v>
      </c>
      <c r="C5" s="132" t="s">
        <v>1167</v>
      </c>
      <c r="D5" s="132" t="s">
        <v>195</v>
      </c>
      <c r="E5" s="132" t="s">
        <v>199</v>
      </c>
      <c r="F5" s="132" t="s">
        <v>1358</v>
      </c>
      <c r="G5" s="132" t="s">
        <v>260</v>
      </c>
      <c r="H5" s="132" t="s">
        <v>1359</v>
      </c>
      <c r="I5" s="132" t="s">
        <v>357</v>
      </c>
      <c r="J5" s="132" t="s">
        <v>399</v>
      </c>
      <c r="K5" s="132" t="s">
        <v>507</v>
      </c>
      <c r="L5" s="132" t="s">
        <v>570</v>
      </c>
      <c r="M5" s="132" t="s">
        <v>634</v>
      </c>
      <c r="N5" s="132" t="s">
        <v>650</v>
      </c>
      <c r="O5" s="132" t="s">
        <v>1360</v>
      </c>
      <c r="P5" s="132" t="s">
        <v>786</v>
      </c>
      <c r="Q5" s="132" t="s">
        <v>831</v>
      </c>
      <c r="R5" s="132" t="s">
        <v>844</v>
      </c>
      <c r="S5" s="132" t="s">
        <v>870</v>
      </c>
      <c r="T5" s="132" t="s">
        <v>879</v>
      </c>
      <c r="U5" s="132" t="s">
        <v>916</v>
      </c>
      <c r="V5" s="132" t="s">
        <v>936</v>
      </c>
      <c r="W5" s="132" t="s">
        <v>976</v>
      </c>
      <c r="X5" s="132" t="s">
        <v>1013</v>
      </c>
      <c r="Y5" s="132" t="s">
        <v>1019</v>
      </c>
      <c r="Z5" s="132" t="s">
        <v>1361</v>
      </c>
    </row>
    <row r="6" ht="16.05" hidden="1" customHeight="1" spans="1:26">
      <c r="A6" s="133" t="s">
        <v>1199</v>
      </c>
      <c r="B6" s="134"/>
      <c r="C6" s="134"/>
      <c r="D6" s="134"/>
      <c r="E6" s="134"/>
      <c r="F6" s="134"/>
      <c r="G6" s="134"/>
      <c r="H6" s="134"/>
      <c r="I6" s="134"/>
      <c r="J6" s="134"/>
      <c r="K6" s="134"/>
      <c r="L6" s="134"/>
      <c r="M6" s="134"/>
      <c r="N6" s="134"/>
      <c r="O6" s="134"/>
      <c r="P6" s="140"/>
      <c r="Q6" s="134"/>
      <c r="R6" s="134"/>
      <c r="S6" s="134"/>
      <c r="T6" s="134"/>
      <c r="U6" s="134"/>
      <c r="V6" s="134"/>
      <c r="W6" s="134"/>
      <c r="X6" s="134"/>
      <c r="Y6" s="134"/>
      <c r="Z6" s="134"/>
    </row>
    <row r="7" ht="16.05" hidden="1" customHeight="1" spans="1:26">
      <c r="A7" s="133" t="s">
        <v>1200</v>
      </c>
      <c r="B7" s="134"/>
      <c r="C7" s="134"/>
      <c r="D7" s="134"/>
      <c r="E7" s="134"/>
      <c r="F7" s="134"/>
      <c r="G7" s="134"/>
      <c r="H7" s="134"/>
      <c r="I7" s="134"/>
      <c r="J7" s="134"/>
      <c r="K7" s="134"/>
      <c r="L7" s="134"/>
      <c r="M7" s="134"/>
      <c r="N7" s="134"/>
      <c r="O7" s="134"/>
      <c r="P7" s="140"/>
      <c r="Q7" s="134"/>
      <c r="R7" s="134"/>
      <c r="S7" s="134"/>
      <c r="T7" s="134"/>
      <c r="U7" s="134"/>
      <c r="V7" s="134"/>
      <c r="W7" s="134"/>
      <c r="X7" s="134"/>
      <c r="Y7" s="134"/>
      <c r="Z7" s="134"/>
    </row>
    <row r="8" ht="16.05" hidden="1" customHeight="1" spans="1:26">
      <c r="A8" s="133" t="s">
        <v>1201</v>
      </c>
      <c r="B8" s="134"/>
      <c r="C8" s="134"/>
      <c r="D8" s="134"/>
      <c r="E8" s="134"/>
      <c r="F8" s="134"/>
      <c r="G8" s="134"/>
      <c r="H8" s="134"/>
      <c r="I8" s="134"/>
      <c r="J8" s="134"/>
      <c r="K8" s="134"/>
      <c r="L8" s="134"/>
      <c r="M8" s="134"/>
      <c r="N8" s="134"/>
      <c r="O8" s="134"/>
      <c r="P8" s="140"/>
      <c r="Q8" s="134"/>
      <c r="R8" s="134"/>
      <c r="S8" s="134"/>
      <c r="T8" s="134"/>
      <c r="U8" s="134"/>
      <c r="V8" s="134"/>
      <c r="W8" s="134"/>
      <c r="X8" s="134"/>
      <c r="Y8" s="134"/>
      <c r="Z8" s="134"/>
    </row>
    <row r="9" ht="16.05" hidden="1" customHeight="1" spans="1:26">
      <c r="A9" s="133" t="s">
        <v>1202</v>
      </c>
      <c r="B9" s="135"/>
      <c r="C9" s="135"/>
      <c r="D9" s="135"/>
      <c r="E9" s="135"/>
      <c r="F9" s="135"/>
      <c r="G9" s="135"/>
      <c r="H9" s="135"/>
      <c r="I9" s="135"/>
      <c r="J9" s="135"/>
      <c r="K9" s="135"/>
      <c r="L9" s="135"/>
      <c r="M9" s="135"/>
      <c r="N9" s="135"/>
      <c r="O9" s="135"/>
      <c r="P9" s="141"/>
      <c r="Q9" s="135"/>
      <c r="R9" s="135"/>
      <c r="S9" s="135"/>
      <c r="T9" s="135"/>
      <c r="U9" s="135"/>
      <c r="V9" s="135"/>
      <c r="W9" s="135"/>
      <c r="X9" s="135"/>
      <c r="Y9" s="135"/>
      <c r="Z9" s="135"/>
    </row>
    <row r="10" ht="16.05" hidden="1" customHeight="1" spans="1:26">
      <c r="A10" s="133" t="s">
        <v>1203</v>
      </c>
      <c r="B10" s="135"/>
      <c r="C10" s="135"/>
      <c r="D10" s="135"/>
      <c r="E10" s="135"/>
      <c r="F10" s="135"/>
      <c r="G10" s="135"/>
      <c r="H10" s="135"/>
      <c r="I10" s="135"/>
      <c r="J10" s="135"/>
      <c r="K10" s="135"/>
      <c r="L10" s="135"/>
      <c r="M10" s="135"/>
      <c r="N10" s="135"/>
      <c r="O10" s="135"/>
      <c r="P10" s="141"/>
      <c r="Q10" s="135"/>
      <c r="R10" s="135"/>
      <c r="S10" s="135"/>
      <c r="T10" s="135"/>
      <c r="U10" s="135"/>
      <c r="V10" s="135"/>
      <c r="W10" s="135"/>
      <c r="X10" s="135"/>
      <c r="Y10" s="135"/>
      <c r="Z10" s="135"/>
    </row>
    <row r="11" ht="16.05" hidden="1" customHeight="1" spans="1:26">
      <c r="A11" s="133" t="s">
        <v>1204</v>
      </c>
      <c r="B11" s="135"/>
      <c r="C11" s="135"/>
      <c r="D11" s="135"/>
      <c r="E11" s="135"/>
      <c r="F11" s="135"/>
      <c r="G11" s="135"/>
      <c r="H11" s="135"/>
      <c r="I11" s="135"/>
      <c r="J11" s="135"/>
      <c r="K11" s="135"/>
      <c r="L11" s="135"/>
      <c r="M11" s="135"/>
      <c r="N11" s="135"/>
      <c r="O11" s="135"/>
      <c r="P11" s="141"/>
      <c r="Q11" s="135"/>
      <c r="R11" s="135"/>
      <c r="S11" s="135"/>
      <c r="T11" s="135"/>
      <c r="U11" s="135"/>
      <c r="V11" s="135"/>
      <c r="W11" s="135"/>
      <c r="X11" s="135"/>
      <c r="Y11" s="135"/>
      <c r="Z11" s="135"/>
    </row>
    <row r="12" ht="16.05" hidden="1" customHeight="1" spans="1:26">
      <c r="A12" s="133" t="s">
        <v>1205</v>
      </c>
      <c r="B12" s="135"/>
      <c r="C12" s="135"/>
      <c r="D12" s="135"/>
      <c r="E12" s="135"/>
      <c r="F12" s="135"/>
      <c r="G12" s="135"/>
      <c r="H12" s="135"/>
      <c r="I12" s="135"/>
      <c r="J12" s="135"/>
      <c r="K12" s="135"/>
      <c r="L12" s="135"/>
      <c r="M12" s="135"/>
      <c r="N12" s="135"/>
      <c r="O12" s="135"/>
      <c r="P12" s="141"/>
      <c r="Q12" s="135"/>
      <c r="R12" s="135"/>
      <c r="S12" s="135"/>
      <c r="T12" s="135"/>
      <c r="U12" s="135"/>
      <c r="V12" s="135"/>
      <c r="W12" s="135"/>
      <c r="X12" s="135"/>
      <c r="Y12" s="135"/>
      <c r="Z12" s="135"/>
    </row>
    <row r="13" ht="16.05" hidden="1" customHeight="1" spans="1:26">
      <c r="A13" s="133" t="s">
        <v>1206</v>
      </c>
      <c r="B13" s="135"/>
      <c r="C13" s="135"/>
      <c r="D13" s="135"/>
      <c r="E13" s="135"/>
      <c r="F13" s="135"/>
      <c r="G13" s="135"/>
      <c r="H13" s="135"/>
      <c r="I13" s="135"/>
      <c r="J13" s="135"/>
      <c r="K13" s="135"/>
      <c r="L13" s="135"/>
      <c r="M13" s="135"/>
      <c r="N13" s="135"/>
      <c r="O13" s="135"/>
      <c r="P13" s="141"/>
      <c r="Q13" s="135"/>
      <c r="R13" s="135"/>
      <c r="S13" s="135"/>
      <c r="T13" s="135"/>
      <c r="U13" s="135"/>
      <c r="V13" s="135"/>
      <c r="W13" s="135"/>
      <c r="X13" s="135"/>
      <c r="Y13" s="135"/>
      <c r="Z13" s="135"/>
    </row>
    <row r="14" ht="16.05" hidden="1" customHeight="1" spans="1:26">
      <c r="A14" s="133" t="s">
        <v>1207</v>
      </c>
      <c r="B14" s="135"/>
      <c r="C14" s="135"/>
      <c r="D14" s="135"/>
      <c r="E14" s="135"/>
      <c r="F14" s="135"/>
      <c r="G14" s="135"/>
      <c r="H14" s="135"/>
      <c r="I14" s="135"/>
      <c r="J14" s="135"/>
      <c r="K14" s="135"/>
      <c r="L14" s="135"/>
      <c r="M14" s="135"/>
      <c r="N14" s="135"/>
      <c r="O14" s="135"/>
      <c r="P14" s="141"/>
      <c r="Q14" s="135"/>
      <c r="R14" s="135"/>
      <c r="S14" s="135"/>
      <c r="T14" s="135"/>
      <c r="U14" s="135"/>
      <c r="V14" s="135"/>
      <c r="W14" s="135"/>
      <c r="X14" s="135"/>
      <c r="Y14" s="135"/>
      <c r="Z14" s="135"/>
    </row>
    <row r="15" ht="16.05" hidden="1" customHeight="1" spans="1:26">
      <c r="A15" s="133" t="s">
        <v>1208</v>
      </c>
      <c r="B15" s="135"/>
      <c r="C15" s="135"/>
      <c r="D15" s="135"/>
      <c r="E15" s="135"/>
      <c r="F15" s="135"/>
      <c r="G15" s="135"/>
      <c r="H15" s="135"/>
      <c r="I15" s="135"/>
      <c r="J15" s="135"/>
      <c r="K15" s="135"/>
      <c r="L15" s="135"/>
      <c r="M15" s="135"/>
      <c r="N15" s="135"/>
      <c r="O15" s="135"/>
      <c r="P15" s="141"/>
      <c r="Q15" s="135"/>
      <c r="R15" s="135"/>
      <c r="S15" s="135"/>
      <c r="T15" s="135"/>
      <c r="U15" s="135"/>
      <c r="V15" s="135"/>
      <c r="W15" s="135"/>
      <c r="X15" s="135"/>
      <c r="Y15" s="135"/>
      <c r="Z15" s="135"/>
    </row>
    <row r="16" ht="16.05" hidden="1" customHeight="1" spans="1:26">
      <c r="A16" s="133" t="s">
        <v>1209</v>
      </c>
      <c r="B16" s="135"/>
      <c r="C16" s="135"/>
      <c r="D16" s="135"/>
      <c r="E16" s="135"/>
      <c r="F16" s="135"/>
      <c r="G16" s="135"/>
      <c r="H16" s="135"/>
      <c r="I16" s="135"/>
      <c r="J16" s="135"/>
      <c r="K16" s="135"/>
      <c r="L16" s="135"/>
      <c r="M16" s="135"/>
      <c r="N16" s="135"/>
      <c r="O16" s="135"/>
      <c r="P16" s="141"/>
      <c r="Q16" s="135"/>
      <c r="R16" s="135"/>
      <c r="S16" s="135"/>
      <c r="T16" s="135"/>
      <c r="U16" s="135"/>
      <c r="V16" s="135"/>
      <c r="W16" s="135"/>
      <c r="X16" s="135"/>
      <c r="Y16" s="135"/>
      <c r="Z16" s="135"/>
    </row>
    <row r="17" ht="16.05" hidden="1" customHeight="1" spans="1:26">
      <c r="A17" s="133" t="s">
        <v>1210</v>
      </c>
      <c r="B17" s="135"/>
      <c r="C17" s="135"/>
      <c r="D17" s="135"/>
      <c r="E17" s="135"/>
      <c r="F17" s="135"/>
      <c r="G17" s="135"/>
      <c r="H17" s="135"/>
      <c r="I17" s="135"/>
      <c r="J17" s="135"/>
      <c r="K17" s="135"/>
      <c r="L17" s="135"/>
      <c r="M17" s="135"/>
      <c r="N17" s="135"/>
      <c r="O17" s="135"/>
      <c r="P17" s="141"/>
      <c r="Q17" s="135"/>
      <c r="R17" s="135"/>
      <c r="S17" s="135"/>
      <c r="T17" s="135"/>
      <c r="U17" s="135"/>
      <c r="V17" s="135"/>
      <c r="W17" s="135"/>
      <c r="X17" s="135"/>
      <c r="Y17" s="135"/>
      <c r="Z17" s="135"/>
    </row>
    <row r="18" ht="16.05" hidden="1" customHeight="1" spans="1:26">
      <c r="A18" s="133" t="s">
        <v>1211</v>
      </c>
      <c r="B18" s="135"/>
      <c r="C18" s="135"/>
      <c r="D18" s="135"/>
      <c r="E18" s="135"/>
      <c r="F18" s="135"/>
      <c r="G18" s="135"/>
      <c r="H18" s="135"/>
      <c r="I18" s="135"/>
      <c r="J18" s="135"/>
      <c r="K18" s="135"/>
      <c r="L18" s="135"/>
      <c r="M18" s="135"/>
      <c r="N18" s="135"/>
      <c r="O18" s="135"/>
      <c r="P18" s="141"/>
      <c r="Q18" s="135"/>
      <c r="R18" s="135"/>
      <c r="S18" s="135"/>
      <c r="T18" s="135"/>
      <c r="U18" s="135"/>
      <c r="V18" s="135"/>
      <c r="W18" s="135"/>
      <c r="X18" s="135"/>
      <c r="Y18" s="135"/>
      <c r="Z18" s="135"/>
    </row>
    <row r="19" ht="16.05" hidden="1" customHeight="1" spans="1:26">
      <c r="A19" s="133" t="s">
        <v>1212</v>
      </c>
      <c r="B19" s="135"/>
      <c r="C19" s="135"/>
      <c r="D19" s="135"/>
      <c r="E19" s="135"/>
      <c r="F19" s="135"/>
      <c r="G19" s="135"/>
      <c r="H19" s="135"/>
      <c r="I19" s="135"/>
      <c r="J19" s="135"/>
      <c r="K19" s="135"/>
      <c r="L19" s="135"/>
      <c r="M19" s="135"/>
      <c r="N19" s="135"/>
      <c r="O19" s="135"/>
      <c r="P19" s="141"/>
      <c r="Q19" s="135"/>
      <c r="R19" s="135"/>
      <c r="S19" s="135"/>
      <c r="T19" s="135"/>
      <c r="U19" s="135"/>
      <c r="V19" s="135"/>
      <c r="W19" s="135"/>
      <c r="X19" s="135"/>
      <c r="Y19" s="135"/>
      <c r="Z19" s="135"/>
    </row>
    <row r="20" ht="16.05" hidden="1" customHeight="1" spans="1:26">
      <c r="A20" s="133" t="s">
        <v>1213</v>
      </c>
      <c r="B20" s="135"/>
      <c r="C20" s="135"/>
      <c r="D20" s="135"/>
      <c r="E20" s="135"/>
      <c r="F20" s="135"/>
      <c r="G20" s="135"/>
      <c r="H20" s="135"/>
      <c r="I20" s="135"/>
      <c r="J20" s="135"/>
      <c r="K20" s="135"/>
      <c r="L20" s="135"/>
      <c r="M20" s="135"/>
      <c r="N20" s="135"/>
      <c r="O20" s="135"/>
      <c r="P20" s="141"/>
      <c r="Q20" s="135"/>
      <c r="R20" s="135"/>
      <c r="S20" s="135"/>
      <c r="T20" s="135"/>
      <c r="U20" s="135"/>
      <c r="V20" s="135"/>
      <c r="W20" s="135"/>
      <c r="X20" s="135"/>
      <c r="Y20" s="135"/>
      <c r="Z20" s="135"/>
    </row>
    <row r="21" ht="16.05" hidden="1" customHeight="1" spans="1:26">
      <c r="A21" s="133" t="s">
        <v>1214</v>
      </c>
      <c r="B21" s="135"/>
      <c r="C21" s="135"/>
      <c r="D21" s="135"/>
      <c r="E21" s="135"/>
      <c r="F21" s="135"/>
      <c r="G21" s="135"/>
      <c r="H21" s="135"/>
      <c r="I21" s="135"/>
      <c r="J21" s="135"/>
      <c r="K21" s="135"/>
      <c r="L21" s="135"/>
      <c r="M21" s="135"/>
      <c r="N21" s="135"/>
      <c r="O21" s="135"/>
      <c r="P21" s="141"/>
      <c r="Q21" s="135"/>
      <c r="R21" s="135"/>
      <c r="S21" s="135"/>
      <c r="T21" s="135"/>
      <c r="U21" s="135"/>
      <c r="V21" s="135"/>
      <c r="W21" s="135"/>
      <c r="X21" s="135"/>
      <c r="Y21" s="135"/>
      <c r="Z21" s="135"/>
    </row>
    <row r="22" ht="16.05" hidden="1" customHeight="1" spans="1:26">
      <c r="A22" s="133" t="s">
        <v>1215</v>
      </c>
      <c r="B22" s="135"/>
      <c r="C22" s="135"/>
      <c r="D22" s="135"/>
      <c r="E22" s="135"/>
      <c r="F22" s="135"/>
      <c r="G22" s="135"/>
      <c r="H22" s="135"/>
      <c r="I22" s="135"/>
      <c r="J22" s="135"/>
      <c r="K22" s="135"/>
      <c r="L22" s="135"/>
      <c r="M22" s="135"/>
      <c r="N22" s="135"/>
      <c r="O22" s="135"/>
      <c r="P22" s="141"/>
      <c r="Q22" s="135"/>
      <c r="R22" s="135"/>
      <c r="S22" s="135"/>
      <c r="T22" s="135"/>
      <c r="U22" s="135"/>
      <c r="V22" s="135"/>
      <c r="W22" s="135"/>
      <c r="X22" s="135"/>
      <c r="Y22" s="135"/>
      <c r="Z22" s="135"/>
    </row>
    <row r="23" ht="16.05" hidden="1" customHeight="1" spans="1:26">
      <c r="A23" s="133" t="s">
        <v>1216</v>
      </c>
      <c r="B23" s="135"/>
      <c r="C23" s="135"/>
      <c r="D23" s="135"/>
      <c r="E23" s="135"/>
      <c r="F23" s="135"/>
      <c r="G23" s="135"/>
      <c r="H23" s="135"/>
      <c r="I23" s="135"/>
      <c r="J23" s="135"/>
      <c r="K23" s="135"/>
      <c r="L23" s="135"/>
      <c r="M23" s="135"/>
      <c r="N23" s="135"/>
      <c r="O23" s="135"/>
      <c r="P23" s="141"/>
      <c r="Q23" s="135"/>
      <c r="R23" s="135"/>
      <c r="S23" s="135"/>
      <c r="T23" s="135"/>
      <c r="U23" s="135"/>
      <c r="V23" s="135"/>
      <c r="W23" s="135"/>
      <c r="X23" s="135"/>
      <c r="Y23" s="135"/>
      <c r="Z23" s="135"/>
    </row>
    <row r="24" ht="16.05" hidden="1" customHeight="1" spans="1:26">
      <c r="A24" s="133" t="s">
        <v>1217</v>
      </c>
      <c r="B24" s="135"/>
      <c r="C24" s="135"/>
      <c r="D24" s="135"/>
      <c r="E24" s="135"/>
      <c r="F24" s="135"/>
      <c r="G24" s="135"/>
      <c r="H24" s="135"/>
      <c r="I24" s="135"/>
      <c r="J24" s="135"/>
      <c r="K24" s="135"/>
      <c r="L24" s="135"/>
      <c r="M24" s="135"/>
      <c r="N24" s="135"/>
      <c r="O24" s="135"/>
      <c r="P24" s="141"/>
      <c r="Q24" s="135"/>
      <c r="R24" s="135"/>
      <c r="S24" s="135"/>
      <c r="T24" s="135"/>
      <c r="U24" s="135"/>
      <c r="V24" s="135"/>
      <c r="W24" s="135"/>
      <c r="X24" s="135"/>
      <c r="Y24" s="135"/>
      <c r="Z24" s="135"/>
    </row>
    <row r="25" ht="16.05" hidden="1" customHeight="1" spans="1:26">
      <c r="A25" s="133" t="s">
        <v>1218</v>
      </c>
      <c r="B25" s="135"/>
      <c r="C25" s="135"/>
      <c r="D25" s="135"/>
      <c r="E25" s="135"/>
      <c r="F25" s="135"/>
      <c r="G25" s="135"/>
      <c r="H25" s="135"/>
      <c r="I25" s="135"/>
      <c r="J25" s="135"/>
      <c r="K25" s="135"/>
      <c r="L25" s="135"/>
      <c r="M25" s="135"/>
      <c r="N25" s="135"/>
      <c r="O25" s="135"/>
      <c r="P25" s="141"/>
      <c r="Q25" s="135"/>
      <c r="R25" s="135"/>
      <c r="S25" s="135"/>
      <c r="T25" s="135"/>
      <c r="U25" s="135"/>
      <c r="V25" s="135"/>
      <c r="W25" s="135"/>
      <c r="X25" s="135"/>
      <c r="Y25" s="135"/>
      <c r="Z25" s="135"/>
    </row>
    <row r="26" ht="16.05" hidden="1" customHeight="1" spans="1:26">
      <c r="A26" s="133" t="s">
        <v>1219</v>
      </c>
      <c r="B26" s="135"/>
      <c r="C26" s="135"/>
      <c r="D26" s="135"/>
      <c r="E26" s="135"/>
      <c r="F26" s="135"/>
      <c r="G26" s="135"/>
      <c r="H26" s="135"/>
      <c r="I26" s="135"/>
      <c r="J26" s="135"/>
      <c r="K26" s="135"/>
      <c r="L26" s="135"/>
      <c r="M26" s="135"/>
      <c r="N26" s="135"/>
      <c r="O26" s="135"/>
      <c r="P26" s="141"/>
      <c r="Q26" s="135"/>
      <c r="R26" s="135"/>
      <c r="S26" s="135"/>
      <c r="T26" s="135"/>
      <c r="U26" s="135"/>
      <c r="V26" s="135"/>
      <c r="W26" s="135"/>
      <c r="X26" s="135"/>
      <c r="Y26" s="135"/>
      <c r="Z26" s="135"/>
    </row>
    <row r="27" ht="16.05" hidden="1" customHeight="1" spans="1:26">
      <c r="A27" s="133" t="s">
        <v>1220</v>
      </c>
      <c r="B27" s="135"/>
      <c r="C27" s="135"/>
      <c r="D27" s="135"/>
      <c r="E27" s="135"/>
      <c r="F27" s="135"/>
      <c r="G27" s="135"/>
      <c r="H27" s="135"/>
      <c r="I27" s="135"/>
      <c r="J27" s="135"/>
      <c r="K27" s="135"/>
      <c r="L27" s="135"/>
      <c r="M27" s="135"/>
      <c r="N27" s="135"/>
      <c r="O27" s="135"/>
      <c r="P27" s="141"/>
      <c r="Q27" s="135"/>
      <c r="R27" s="135"/>
      <c r="S27" s="135"/>
      <c r="T27" s="135"/>
      <c r="U27" s="135"/>
      <c r="V27" s="135"/>
      <c r="W27" s="135"/>
      <c r="X27" s="135"/>
      <c r="Y27" s="135"/>
      <c r="Z27" s="135"/>
    </row>
    <row r="28" ht="16.05" hidden="1" customHeight="1" spans="1:26">
      <c r="A28" s="133" t="s">
        <v>1221</v>
      </c>
      <c r="B28" s="135"/>
      <c r="C28" s="135"/>
      <c r="D28" s="135"/>
      <c r="E28" s="135"/>
      <c r="F28" s="135"/>
      <c r="G28" s="135"/>
      <c r="H28" s="135"/>
      <c r="I28" s="135"/>
      <c r="J28" s="135"/>
      <c r="K28" s="135"/>
      <c r="L28" s="135"/>
      <c r="M28" s="135"/>
      <c r="N28" s="135"/>
      <c r="O28" s="135"/>
      <c r="P28" s="141"/>
      <c r="Q28" s="135"/>
      <c r="R28" s="135"/>
      <c r="S28" s="135"/>
      <c r="T28" s="135"/>
      <c r="U28" s="135"/>
      <c r="V28" s="135"/>
      <c r="W28" s="135"/>
      <c r="X28" s="135"/>
      <c r="Y28" s="135"/>
      <c r="Z28" s="135"/>
    </row>
    <row r="29" hidden="1" spans="1:26">
      <c r="A29" s="133" t="s">
        <v>1222</v>
      </c>
      <c r="B29" s="135"/>
      <c r="C29" s="135"/>
      <c r="D29" s="135"/>
      <c r="E29" s="135"/>
      <c r="F29" s="135"/>
      <c r="G29" s="135"/>
      <c r="H29" s="135"/>
      <c r="I29" s="135"/>
      <c r="J29" s="135"/>
      <c r="K29" s="135"/>
      <c r="L29" s="135"/>
      <c r="M29" s="135"/>
      <c r="N29" s="135"/>
      <c r="O29" s="135"/>
      <c r="P29" s="141"/>
      <c r="Q29" s="135"/>
      <c r="R29" s="135"/>
      <c r="S29" s="135"/>
      <c r="T29" s="135"/>
      <c r="U29" s="135"/>
      <c r="V29" s="135"/>
      <c r="W29" s="135"/>
      <c r="X29" s="135"/>
      <c r="Y29" s="135"/>
      <c r="Z29" s="135"/>
    </row>
    <row r="30" hidden="1" spans="1:26">
      <c r="A30" s="133" t="s">
        <v>1223</v>
      </c>
      <c r="B30" s="135"/>
      <c r="C30" s="135"/>
      <c r="D30" s="135"/>
      <c r="E30" s="135"/>
      <c r="F30" s="135"/>
      <c r="G30" s="135"/>
      <c r="H30" s="135"/>
      <c r="I30" s="135"/>
      <c r="J30" s="135"/>
      <c r="K30" s="135"/>
      <c r="L30" s="135"/>
      <c r="M30" s="135"/>
      <c r="N30" s="135"/>
      <c r="O30" s="135"/>
      <c r="P30" s="141"/>
      <c r="Q30" s="135"/>
      <c r="R30" s="135"/>
      <c r="S30" s="135"/>
      <c r="T30" s="135"/>
      <c r="U30" s="135"/>
      <c r="V30" s="135"/>
      <c r="W30" s="135"/>
      <c r="X30" s="135"/>
      <c r="Y30" s="135"/>
      <c r="Z30" s="135"/>
    </row>
    <row r="31" hidden="1" spans="1:26">
      <c r="A31" s="133" t="s">
        <v>1224</v>
      </c>
      <c r="B31" s="135"/>
      <c r="C31" s="135"/>
      <c r="D31" s="135"/>
      <c r="E31" s="135"/>
      <c r="F31" s="135"/>
      <c r="G31" s="135"/>
      <c r="H31" s="135"/>
      <c r="I31" s="135"/>
      <c r="J31" s="135"/>
      <c r="K31" s="135"/>
      <c r="L31" s="135"/>
      <c r="M31" s="135"/>
      <c r="N31" s="135"/>
      <c r="O31" s="135"/>
      <c r="P31" s="141"/>
      <c r="Q31" s="135"/>
      <c r="R31" s="135"/>
      <c r="S31" s="135"/>
      <c r="T31" s="135"/>
      <c r="U31" s="135"/>
      <c r="V31" s="135"/>
      <c r="W31" s="135"/>
      <c r="X31" s="135"/>
      <c r="Y31" s="135"/>
      <c r="Z31" s="135"/>
    </row>
    <row r="32" hidden="1" spans="1:26">
      <c r="A32" s="133" t="s">
        <v>1225</v>
      </c>
      <c r="B32" s="135"/>
      <c r="C32" s="135"/>
      <c r="D32" s="135"/>
      <c r="E32" s="135"/>
      <c r="F32" s="135"/>
      <c r="G32" s="135"/>
      <c r="H32" s="135"/>
      <c r="I32" s="135"/>
      <c r="J32" s="135"/>
      <c r="K32" s="135"/>
      <c r="L32" s="135"/>
      <c r="M32" s="135"/>
      <c r="N32" s="135"/>
      <c r="O32" s="135"/>
      <c r="P32" s="141"/>
      <c r="Q32" s="135"/>
      <c r="R32" s="135"/>
      <c r="S32" s="135"/>
      <c r="T32" s="135"/>
      <c r="U32" s="135"/>
      <c r="V32" s="135"/>
      <c r="W32" s="135"/>
      <c r="X32" s="135"/>
      <c r="Y32" s="135"/>
      <c r="Z32" s="135"/>
    </row>
    <row r="33" hidden="1" spans="1:26">
      <c r="A33" s="133" t="s">
        <v>1226</v>
      </c>
      <c r="B33" s="135"/>
      <c r="C33" s="135"/>
      <c r="D33" s="135"/>
      <c r="E33" s="135"/>
      <c r="F33" s="135"/>
      <c r="G33" s="135"/>
      <c r="H33" s="135"/>
      <c r="I33" s="135"/>
      <c r="J33" s="135"/>
      <c r="K33" s="135"/>
      <c r="L33" s="135"/>
      <c r="M33" s="135"/>
      <c r="N33" s="135"/>
      <c r="O33" s="135"/>
      <c r="P33" s="141"/>
      <c r="Q33" s="135"/>
      <c r="R33" s="135"/>
      <c r="S33" s="135"/>
      <c r="T33" s="135"/>
      <c r="U33" s="135"/>
      <c r="V33" s="135"/>
      <c r="W33" s="135"/>
      <c r="X33" s="135"/>
      <c r="Y33" s="135"/>
      <c r="Z33" s="135"/>
    </row>
    <row r="34" hidden="1" spans="1:26">
      <c r="A34" s="133" t="s">
        <v>1227</v>
      </c>
      <c r="B34" s="135"/>
      <c r="C34" s="135"/>
      <c r="D34" s="135"/>
      <c r="E34" s="135"/>
      <c r="F34" s="135"/>
      <c r="G34" s="135"/>
      <c r="H34" s="135"/>
      <c r="I34" s="135"/>
      <c r="J34" s="135"/>
      <c r="K34" s="135"/>
      <c r="L34" s="135"/>
      <c r="M34" s="135"/>
      <c r="N34" s="135"/>
      <c r="O34" s="135"/>
      <c r="P34" s="141"/>
      <c r="Q34" s="135"/>
      <c r="R34" s="135"/>
      <c r="S34" s="135"/>
      <c r="T34" s="135"/>
      <c r="U34" s="135"/>
      <c r="V34" s="135"/>
      <c r="W34" s="135"/>
      <c r="X34" s="135"/>
      <c r="Y34" s="135"/>
      <c r="Z34" s="135"/>
    </row>
    <row r="35" hidden="1" spans="1:26">
      <c r="A35" s="133" t="s">
        <v>1228</v>
      </c>
      <c r="B35" s="135"/>
      <c r="C35" s="135"/>
      <c r="D35" s="135"/>
      <c r="E35" s="135"/>
      <c r="F35" s="135"/>
      <c r="G35" s="135"/>
      <c r="H35" s="135"/>
      <c r="I35" s="135"/>
      <c r="J35" s="135"/>
      <c r="K35" s="135"/>
      <c r="L35" s="135"/>
      <c r="M35" s="135"/>
      <c r="N35" s="135"/>
      <c r="O35" s="135"/>
      <c r="P35" s="141"/>
      <c r="Q35" s="135"/>
      <c r="R35" s="135"/>
      <c r="S35" s="135"/>
      <c r="T35" s="135"/>
      <c r="U35" s="135"/>
      <c r="V35" s="135"/>
      <c r="W35" s="135"/>
      <c r="X35" s="135"/>
      <c r="Y35" s="135"/>
      <c r="Z35" s="135"/>
    </row>
    <row r="36" hidden="1" spans="1:26">
      <c r="A36" s="133" t="s">
        <v>1229</v>
      </c>
      <c r="B36" s="135"/>
      <c r="C36" s="135"/>
      <c r="D36" s="135"/>
      <c r="E36" s="135"/>
      <c r="F36" s="135"/>
      <c r="G36" s="135"/>
      <c r="H36" s="135"/>
      <c r="I36" s="135"/>
      <c r="J36" s="135"/>
      <c r="K36" s="135"/>
      <c r="L36" s="135"/>
      <c r="M36" s="135"/>
      <c r="N36" s="135"/>
      <c r="O36" s="135"/>
      <c r="P36" s="141"/>
      <c r="Q36" s="135"/>
      <c r="R36" s="135"/>
      <c r="S36" s="135"/>
      <c r="T36" s="135"/>
      <c r="U36" s="135"/>
      <c r="V36" s="135"/>
      <c r="W36" s="135"/>
      <c r="X36" s="135"/>
      <c r="Y36" s="135"/>
      <c r="Z36" s="135"/>
    </row>
    <row r="37" ht="23.4" customHeight="1" spans="1:26">
      <c r="A37" s="133" t="s">
        <v>1230</v>
      </c>
      <c r="B37" s="136">
        <f>SUM(C37:Z37)</f>
        <v>377714</v>
      </c>
      <c r="C37" s="136">
        <f>C38+C39</f>
        <v>50234</v>
      </c>
      <c r="D37" s="136">
        <f t="shared" ref="D37:Z37" si="0">D38+D39</f>
        <v>0</v>
      </c>
      <c r="E37" s="136">
        <f t="shared" si="0"/>
        <v>446</v>
      </c>
      <c r="F37" s="136">
        <f t="shared" si="0"/>
        <v>19210</v>
      </c>
      <c r="G37" s="136">
        <f t="shared" si="0"/>
        <v>68382</v>
      </c>
      <c r="H37" s="136">
        <f t="shared" si="0"/>
        <v>392</v>
      </c>
      <c r="I37" s="136">
        <f t="shared" si="0"/>
        <v>7790</v>
      </c>
      <c r="J37" s="136">
        <f t="shared" si="0"/>
        <v>58116</v>
      </c>
      <c r="K37" s="136">
        <f t="shared" si="0"/>
        <v>28964</v>
      </c>
      <c r="L37" s="136">
        <f t="shared" si="0"/>
        <v>10898</v>
      </c>
      <c r="M37" s="136">
        <f t="shared" si="0"/>
        <v>8994</v>
      </c>
      <c r="N37" s="136">
        <f t="shared" si="0"/>
        <v>85638</v>
      </c>
      <c r="O37" s="136">
        <f t="shared" si="0"/>
        <v>3534</v>
      </c>
      <c r="P37" s="136">
        <f t="shared" si="0"/>
        <v>588</v>
      </c>
      <c r="Q37" s="136">
        <f t="shared" si="0"/>
        <v>420</v>
      </c>
      <c r="R37" s="136">
        <f t="shared" si="0"/>
        <v>134</v>
      </c>
      <c r="S37" s="136">
        <f t="shared" si="0"/>
        <v>0</v>
      </c>
      <c r="T37" s="136">
        <f t="shared" si="0"/>
        <v>3624</v>
      </c>
      <c r="U37" s="136">
        <f t="shared" si="0"/>
        <v>10052</v>
      </c>
      <c r="V37" s="136">
        <f t="shared" si="0"/>
        <v>1220</v>
      </c>
      <c r="W37" s="136">
        <f t="shared" si="0"/>
        <v>6436</v>
      </c>
      <c r="X37" s="136">
        <f t="shared" si="0"/>
        <v>7520</v>
      </c>
      <c r="Y37" s="136">
        <f t="shared" si="0"/>
        <v>66</v>
      </c>
      <c r="Z37" s="136">
        <f t="shared" si="0"/>
        <v>5056</v>
      </c>
    </row>
    <row r="38" ht="23.4" customHeight="1" spans="1:26">
      <c r="A38" s="133" t="s">
        <v>1231</v>
      </c>
      <c r="B38" s="136">
        <f t="shared" ref="B38:B56" si="1">SUM(C38:Z38)</f>
        <v>188857</v>
      </c>
      <c r="C38" s="137">
        <f>表二!E6</f>
        <v>25117</v>
      </c>
      <c r="D38" s="137">
        <f>表二!E235</f>
        <v>0</v>
      </c>
      <c r="E38" s="137">
        <f>表二!E239</f>
        <v>223</v>
      </c>
      <c r="F38" s="137">
        <f>表二!E249</f>
        <v>9605</v>
      </c>
      <c r="G38" s="137">
        <f>表二!E339</f>
        <v>34191</v>
      </c>
      <c r="H38" s="137">
        <f>表二!E390</f>
        <v>196</v>
      </c>
      <c r="I38" s="137">
        <f>表二!E446</f>
        <v>3895</v>
      </c>
      <c r="J38" s="137">
        <f>表二!E503</f>
        <v>29058</v>
      </c>
      <c r="K38" s="137">
        <f>表二!E629</f>
        <v>14482</v>
      </c>
      <c r="L38" s="137">
        <f>表二!E700</f>
        <v>5449</v>
      </c>
      <c r="M38" s="137">
        <f>表二!E772</f>
        <v>4497</v>
      </c>
      <c r="N38" s="137">
        <f>表二!E791</f>
        <v>42819</v>
      </c>
      <c r="O38" s="137">
        <f>表二!E898</f>
        <v>1767</v>
      </c>
      <c r="P38" s="142">
        <f>表二!E956</f>
        <v>294</v>
      </c>
      <c r="Q38" s="137">
        <f>表二!E1020</f>
        <v>210</v>
      </c>
      <c r="R38" s="137">
        <f>表二!E1040</f>
        <v>67</v>
      </c>
      <c r="S38" s="137">
        <f>表二!E1070</f>
        <v>0</v>
      </c>
      <c r="T38" s="137">
        <f>表二!E1080</f>
        <v>1812</v>
      </c>
      <c r="U38" s="137">
        <f>表二!E1124</f>
        <v>5026</v>
      </c>
      <c r="V38" s="137">
        <f>表二!E1144</f>
        <v>610</v>
      </c>
      <c r="W38" s="137">
        <f>表二!E1188</f>
        <v>3218</v>
      </c>
      <c r="X38" s="137">
        <f>表二!E1240</f>
        <v>3760</v>
      </c>
      <c r="Y38" s="137">
        <f>表二!E1246</f>
        <v>33</v>
      </c>
      <c r="Z38" s="137">
        <f>表二!E1236+表二!E1237</f>
        <v>2528</v>
      </c>
    </row>
    <row r="39" ht="23.4" customHeight="1" spans="1:26">
      <c r="A39" s="133" t="s">
        <v>1232</v>
      </c>
      <c r="B39" s="136">
        <f t="shared" si="1"/>
        <v>188857</v>
      </c>
      <c r="C39" s="136">
        <f>SUM(C40:C56)</f>
        <v>25117</v>
      </c>
      <c r="D39" s="136">
        <f t="shared" ref="D39:Z39" si="2">SUM(D40:D56)</f>
        <v>0</v>
      </c>
      <c r="E39" s="136">
        <f t="shared" si="2"/>
        <v>223</v>
      </c>
      <c r="F39" s="136">
        <f t="shared" si="2"/>
        <v>9605</v>
      </c>
      <c r="G39" s="136">
        <f t="shared" si="2"/>
        <v>34191</v>
      </c>
      <c r="H39" s="136">
        <f t="shared" si="2"/>
        <v>196</v>
      </c>
      <c r="I39" s="136">
        <f t="shared" si="2"/>
        <v>3895</v>
      </c>
      <c r="J39" s="136">
        <f t="shared" si="2"/>
        <v>29058</v>
      </c>
      <c r="K39" s="136">
        <f t="shared" si="2"/>
        <v>14482</v>
      </c>
      <c r="L39" s="136">
        <f t="shared" si="2"/>
        <v>5449</v>
      </c>
      <c r="M39" s="136">
        <f t="shared" si="2"/>
        <v>4497</v>
      </c>
      <c r="N39" s="136">
        <f t="shared" si="2"/>
        <v>42819</v>
      </c>
      <c r="O39" s="136">
        <f t="shared" si="2"/>
        <v>1767</v>
      </c>
      <c r="P39" s="136">
        <f t="shared" si="2"/>
        <v>294</v>
      </c>
      <c r="Q39" s="136">
        <f t="shared" si="2"/>
        <v>210</v>
      </c>
      <c r="R39" s="136">
        <f t="shared" si="2"/>
        <v>67</v>
      </c>
      <c r="S39" s="136">
        <f t="shared" si="2"/>
        <v>0</v>
      </c>
      <c r="T39" s="136">
        <f t="shared" si="2"/>
        <v>1812</v>
      </c>
      <c r="U39" s="136">
        <f t="shared" si="2"/>
        <v>5026</v>
      </c>
      <c r="V39" s="136">
        <f t="shared" si="2"/>
        <v>610</v>
      </c>
      <c r="W39" s="136">
        <f t="shared" si="2"/>
        <v>3218</v>
      </c>
      <c r="X39" s="136">
        <f t="shared" si="2"/>
        <v>3760</v>
      </c>
      <c r="Y39" s="136">
        <f t="shared" si="2"/>
        <v>33</v>
      </c>
      <c r="Z39" s="136">
        <f t="shared" si="2"/>
        <v>2528</v>
      </c>
    </row>
    <row r="40" ht="23.4" customHeight="1" spans="1:26">
      <c r="A40" s="133" t="s">
        <v>1233</v>
      </c>
      <c r="B40" s="136">
        <f t="shared" si="1"/>
        <v>0</v>
      </c>
      <c r="C40" s="137"/>
      <c r="D40" s="137"/>
      <c r="E40" s="137"/>
      <c r="F40" s="137"/>
      <c r="G40" s="137"/>
      <c r="H40" s="137"/>
      <c r="I40" s="137"/>
      <c r="J40" s="137"/>
      <c r="K40" s="137"/>
      <c r="L40" s="137"/>
      <c r="M40" s="137"/>
      <c r="N40" s="137"/>
      <c r="O40" s="137"/>
      <c r="P40" s="142"/>
      <c r="Q40" s="137"/>
      <c r="R40" s="137"/>
      <c r="S40" s="137"/>
      <c r="T40" s="137"/>
      <c r="U40" s="137"/>
      <c r="V40" s="137"/>
      <c r="W40" s="137"/>
      <c r="X40" s="137"/>
      <c r="Y40" s="137"/>
      <c r="Z40" s="137"/>
    </row>
    <row r="41" ht="23.4" customHeight="1" spans="1:26">
      <c r="A41" s="133" t="s">
        <v>1234</v>
      </c>
      <c r="B41" s="136">
        <f t="shared" si="1"/>
        <v>0</v>
      </c>
      <c r="C41" s="137"/>
      <c r="D41" s="137"/>
      <c r="E41" s="137"/>
      <c r="F41" s="137"/>
      <c r="G41" s="137"/>
      <c r="H41" s="137"/>
      <c r="I41" s="137"/>
      <c r="J41" s="137"/>
      <c r="K41" s="137"/>
      <c r="L41" s="137"/>
      <c r="M41" s="137"/>
      <c r="N41" s="137"/>
      <c r="O41" s="137"/>
      <c r="P41" s="142"/>
      <c r="Q41" s="137"/>
      <c r="R41" s="137"/>
      <c r="S41" s="137"/>
      <c r="T41" s="137"/>
      <c r="U41" s="137"/>
      <c r="V41" s="137"/>
      <c r="W41" s="137"/>
      <c r="X41" s="137"/>
      <c r="Y41" s="137"/>
      <c r="Z41" s="137"/>
    </row>
    <row r="42" ht="23.4" customHeight="1" spans="1:26">
      <c r="A42" s="133" t="s">
        <v>1235</v>
      </c>
      <c r="B42" s="136">
        <f t="shared" si="1"/>
        <v>0</v>
      </c>
      <c r="C42" s="137"/>
      <c r="D42" s="137"/>
      <c r="E42" s="137"/>
      <c r="F42" s="137"/>
      <c r="G42" s="137"/>
      <c r="H42" s="137"/>
      <c r="I42" s="137"/>
      <c r="J42" s="137"/>
      <c r="K42" s="137"/>
      <c r="L42" s="137"/>
      <c r="M42" s="137"/>
      <c r="N42" s="137"/>
      <c r="O42" s="137"/>
      <c r="P42" s="142"/>
      <c r="Q42" s="137"/>
      <c r="R42" s="137"/>
      <c r="S42" s="137"/>
      <c r="T42" s="137"/>
      <c r="U42" s="137"/>
      <c r="V42" s="137"/>
      <c r="W42" s="137"/>
      <c r="X42" s="137"/>
      <c r="Y42" s="137"/>
      <c r="Z42" s="137"/>
    </row>
    <row r="43" ht="23.4" customHeight="1" spans="1:26">
      <c r="A43" s="133" t="s">
        <v>1236</v>
      </c>
      <c r="B43" s="136">
        <f t="shared" si="1"/>
        <v>0</v>
      </c>
      <c r="C43" s="137"/>
      <c r="D43" s="137"/>
      <c r="E43" s="137"/>
      <c r="F43" s="137"/>
      <c r="G43" s="137"/>
      <c r="H43" s="137"/>
      <c r="I43" s="137"/>
      <c r="J43" s="137"/>
      <c r="K43" s="137"/>
      <c r="L43" s="137"/>
      <c r="M43" s="137"/>
      <c r="N43" s="137"/>
      <c r="O43" s="137"/>
      <c r="P43" s="142"/>
      <c r="Q43" s="137"/>
      <c r="R43" s="137"/>
      <c r="S43" s="137"/>
      <c r="T43" s="137"/>
      <c r="U43" s="137"/>
      <c r="V43" s="137"/>
      <c r="W43" s="137"/>
      <c r="X43" s="137"/>
      <c r="Y43" s="137"/>
      <c r="Z43" s="137"/>
    </row>
    <row r="44" ht="23.4" customHeight="1" spans="1:26">
      <c r="A44" s="133" t="s">
        <v>1237</v>
      </c>
      <c r="B44" s="136">
        <f t="shared" si="1"/>
        <v>0</v>
      </c>
      <c r="C44" s="137"/>
      <c r="D44" s="137"/>
      <c r="E44" s="137"/>
      <c r="F44" s="137"/>
      <c r="G44" s="137"/>
      <c r="H44" s="137"/>
      <c r="I44" s="137"/>
      <c r="J44" s="137"/>
      <c r="K44" s="137"/>
      <c r="L44" s="137"/>
      <c r="M44" s="137"/>
      <c r="N44" s="137"/>
      <c r="O44" s="137"/>
      <c r="P44" s="142"/>
      <c r="Q44" s="137"/>
      <c r="R44" s="137"/>
      <c r="S44" s="137"/>
      <c r="T44" s="137"/>
      <c r="U44" s="137"/>
      <c r="V44" s="137"/>
      <c r="W44" s="137"/>
      <c r="X44" s="137"/>
      <c r="Y44" s="137"/>
      <c r="Z44" s="137"/>
    </row>
    <row r="45" ht="23.4" customHeight="1" spans="1:26">
      <c r="A45" s="133" t="s">
        <v>1238</v>
      </c>
      <c r="B45" s="136">
        <f t="shared" si="1"/>
        <v>0</v>
      </c>
      <c r="C45" s="137"/>
      <c r="D45" s="137"/>
      <c r="E45" s="137"/>
      <c r="F45" s="137"/>
      <c r="G45" s="137"/>
      <c r="H45" s="137"/>
      <c r="I45" s="137"/>
      <c r="J45" s="137"/>
      <c r="K45" s="137"/>
      <c r="L45" s="137"/>
      <c r="M45" s="137"/>
      <c r="N45" s="137"/>
      <c r="O45" s="137"/>
      <c r="P45" s="142"/>
      <c r="Q45" s="137"/>
      <c r="R45" s="137"/>
      <c r="S45" s="137"/>
      <c r="T45" s="137"/>
      <c r="U45" s="137"/>
      <c r="V45" s="137"/>
      <c r="W45" s="137"/>
      <c r="X45" s="137"/>
      <c r="Y45" s="137"/>
      <c r="Z45" s="137"/>
    </row>
    <row r="46" ht="23.4" customHeight="1" spans="1:26">
      <c r="A46" s="133" t="s">
        <v>1239</v>
      </c>
      <c r="B46" s="136">
        <f t="shared" si="1"/>
        <v>0</v>
      </c>
      <c r="C46" s="137"/>
      <c r="D46" s="137"/>
      <c r="E46" s="137"/>
      <c r="F46" s="137"/>
      <c r="G46" s="137"/>
      <c r="H46" s="137"/>
      <c r="I46" s="137"/>
      <c r="J46" s="137"/>
      <c r="K46" s="137"/>
      <c r="L46" s="137"/>
      <c r="M46" s="137"/>
      <c r="N46" s="137"/>
      <c r="O46" s="137"/>
      <c r="P46" s="142"/>
      <c r="Q46" s="137"/>
      <c r="R46" s="137"/>
      <c r="S46" s="137"/>
      <c r="T46" s="137"/>
      <c r="U46" s="137"/>
      <c r="V46" s="137"/>
      <c r="W46" s="137"/>
      <c r="X46" s="137"/>
      <c r="Y46" s="137"/>
      <c r="Z46" s="137"/>
    </row>
    <row r="47" ht="23.4" customHeight="1" spans="1:26">
      <c r="A47" s="133" t="s">
        <v>1240</v>
      </c>
      <c r="B47" s="136">
        <f t="shared" si="1"/>
        <v>0</v>
      </c>
      <c r="C47" s="137"/>
      <c r="D47" s="137"/>
      <c r="E47" s="137"/>
      <c r="F47" s="137"/>
      <c r="G47" s="137"/>
      <c r="H47" s="137"/>
      <c r="I47" s="137"/>
      <c r="J47" s="137"/>
      <c r="K47" s="137"/>
      <c r="L47" s="137"/>
      <c r="M47" s="137"/>
      <c r="N47" s="137"/>
      <c r="O47" s="137"/>
      <c r="P47" s="142"/>
      <c r="Q47" s="137"/>
      <c r="R47" s="137"/>
      <c r="S47" s="137"/>
      <c r="T47" s="137"/>
      <c r="U47" s="137"/>
      <c r="V47" s="137"/>
      <c r="W47" s="137"/>
      <c r="X47" s="137"/>
      <c r="Y47" s="137"/>
      <c r="Z47" s="137"/>
    </row>
    <row r="48" ht="23.4" customHeight="1" spans="1:26">
      <c r="A48" s="133" t="s">
        <v>1241</v>
      </c>
      <c r="B48" s="136">
        <f t="shared" si="1"/>
        <v>0</v>
      </c>
      <c r="C48" s="137"/>
      <c r="D48" s="137"/>
      <c r="E48" s="137"/>
      <c r="F48" s="137"/>
      <c r="G48" s="137"/>
      <c r="H48" s="137"/>
      <c r="I48" s="137"/>
      <c r="J48" s="137"/>
      <c r="K48" s="137"/>
      <c r="L48" s="137"/>
      <c r="M48" s="137"/>
      <c r="N48" s="137"/>
      <c r="O48" s="137"/>
      <c r="P48" s="142"/>
      <c r="Q48" s="137"/>
      <c r="R48" s="137"/>
      <c r="S48" s="137"/>
      <c r="T48" s="137"/>
      <c r="U48" s="137"/>
      <c r="V48" s="137"/>
      <c r="W48" s="137"/>
      <c r="X48" s="137"/>
      <c r="Y48" s="137"/>
      <c r="Z48" s="137"/>
    </row>
    <row r="49" ht="23.4" customHeight="1" spans="1:26">
      <c r="A49" s="133" t="s">
        <v>1242</v>
      </c>
      <c r="B49" s="136">
        <f t="shared" si="1"/>
        <v>0</v>
      </c>
      <c r="C49" s="137"/>
      <c r="D49" s="137"/>
      <c r="E49" s="137"/>
      <c r="F49" s="137"/>
      <c r="G49" s="137"/>
      <c r="H49" s="137"/>
      <c r="I49" s="137"/>
      <c r="J49" s="137"/>
      <c r="K49" s="137"/>
      <c r="L49" s="137"/>
      <c r="M49" s="137"/>
      <c r="N49" s="137"/>
      <c r="O49" s="137"/>
      <c r="P49" s="142"/>
      <c r="Q49" s="137"/>
      <c r="R49" s="137"/>
      <c r="S49" s="137"/>
      <c r="T49" s="137"/>
      <c r="U49" s="137"/>
      <c r="V49" s="137"/>
      <c r="W49" s="137"/>
      <c r="X49" s="137"/>
      <c r="Y49" s="137"/>
      <c r="Z49" s="137"/>
    </row>
    <row r="50" ht="23.4" customHeight="1" spans="1:26">
      <c r="A50" s="133" t="s">
        <v>1243</v>
      </c>
      <c r="B50" s="136">
        <f t="shared" si="1"/>
        <v>188857</v>
      </c>
      <c r="C50" s="137">
        <v>25117</v>
      </c>
      <c r="D50" s="137">
        <v>0</v>
      </c>
      <c r="E50" s="137">
        <v>223</v>
      </c>
      <c r="F50" s="137">
        <v>9605</v>
      </c>
      <c r="G50" s="137">
        <v>34191</v>
      </c>
      <c r="H50" s="137">
        <v>196</v>
      </c>
      <c r="I50" s="137">
        <v>3895</v>
      </c>
      <c r="J50" s="137">
        <v>29058</v>
      </c>
      <c r="K50" s="137">
        <v>14482</v>
      </c>
      <c r="L50" s="137">
        <v>5449</v>
      </c>
      <c r="M50" s="137">
        <v>4497</v>
      </c>
      <c r="N50" s="137">
        <v>42819</v>
      </c>
      <c r="O50" s="137">
        <v>1767</v>
      </c>
      <c r="P50" s="142">
        <v>294</v>
      </c>
      <c r="Q50" s="137">
        <v>210</v>
      </c>
      <c r="R50" s="137">
        <v>67</v>
      </c>
      <c r="S50" s="137">
        <v>0</v>
      </c>
      <c r="T50" s="137">
        <v>1812</v>
      </c>
      <c r="U50" s="137">
        <v>5026</v>
      </c>
      <c r="V50" s="137">
        <v>610</v>
      </c>
      <c r="W50" s="137">
        <v>3218</v>
      </c>
      <c r="X50" s="137">
        <v>3760</v>
      </c>
      <c r="Y50" s="137">
        <v>33</v>
      </c>
      <c r="Z50" s="137">
        <v>2528</v>
      </c>
    </row>
    <row r="51" ht="23.4" customHeight="1" spans="1:26">
      <c r="A51" s="133" t="s">
        <v>1244</v>
      </c>
      <c r="B51" s="136">
        <f t="shared" si="1"/>
        <v>0</v>
      </c>
      <c r="C51" s="137"/>
      <c r="D51" s="137"/>
      <c r="E51" s="137"/>
      <c r="F51" s="137"/>
      <c r="G51" s="137"/>
      <c r="H51" s="137"/>
      <c r="I51" s="137"/>
      <c r="J51" s="137"/>
      <c r="K51" s="137"/>
      <c r="L51" s="137"/>
      <c r="M51" s="137"/>
      <c r="N51" s="137"/>
      <c r="O51" s="137"/>
      <c r="P51" s="142"/>
      <c r="Q51" s="137"/>
      <c r="R51" s="137"/>
      <c r="S51" s="137"/>
      <c r="T51" s="137"/>
      <c r="U51" s="137"/>
      <c r="V51" s="137"/>
      <c r="W51" s="137"/>
      <c r="X51" s="137"/>
      <c r="Y51" s="137"/>
      <c r="Z51" s="137"/>
    </row>
    <row r="52" ht="23.4" customHeight="1" spans="1:26">
      <c r="A52" s="133" t="s">
        <v>1245</v>
      </c>
      <c r="B52" s="136">
        <f t="shared" si="1"/>
        <v>0</v>
      </c>
      <c r="C52" s="137"/>
      <c r="D52" s="137"/>
      <c r="E52" s="137"/>
      <c r="F52" s="137"/>
      <c r="G52" s="137"/>
      <c r="H52" s="137"/>
      <c r="I52" s="137"/>
      <c r="J52" s="137"/>
      <c r="K52" s="137"/>
      <c r="L52" s="137"/>
      <c r="M52" s="137"/>
      <c r="N52" s="137"/>
      <c r="O52" s="137"/>
      <c r="P52" s="142"/>
      <c r="Q52" s="137"/>
      <c r="R52" s="137"/>
      <c r="S52" s="137"/>
      <c r="T52" s="137"/>
      <c r="U52" s="137"/>
      <c r="V52" s="137"/>
      <c r="W52" s="137"/>
      <c r="X52" s="137"/>
      <c r="Y52" s="137"/>
      <c r="Z52" s="137"/>
    </row>
    <row r="53" ht="23.4" customHeight="1" spans="1:26">
      <c r="A53" s="133" t="s">
        <v>1246</v>
      </c>
      <c r="B53" s="136">
        <f t="shared" si="1"/>
        <v>0</v>
      </c>
      <c r="C53" s="137"/>
      <c r="D53" s="137"/>
      <c r="E53" s="137"/>
      <c r="F53" s="137"/>
      <c r="G53" s="137"/>
      <c r="H53" s="137"/>
      <c r="I53" s="137"/>
      <c r="J53" s="137"/>
      <c r="K53" s="137"/>
      <c r="L53" s="137"/>
      <c r="M53" s="137"/>
      <c r="N53" s="137"/>
      <c r="O53" s="137"/>
      <c r="P53" s="142"/>
      <c r="Q53" s="137"/>
      <c r="R53" s="137"/>
      <c r="S53" s="137"/>
      <c r="T53" s="137"/>
      <c r="U53" s="137"/>
      <c r="V53" s="137"/>
      <c r="W53" s="137"/>
      <c r="X53" s="137"/>
      <c r="Y53" s="137"/>
      <c r="Z53" s="137"/>
    </row>
    <row r="54" ht="23.4" customHeight="1" spans="1:26">
      <c r="A54" s="133" t="s">
        <v>1247</v>
      </c>
      <c r="B54" s="136">
        <f t="shared" si="1"/>
        <v>0</v>
      </c>
      <c r="C54" s="137"/>
      <c r="D54" s="137"/>
      <c r="E54" s="137"/>
      <c r="F54" s="137"/>
      <c r="G54" s="137"/>
      <c r="H54" s="137"/>
      <c r="I54" s="137"/>
      <c r="J54" s="137"/>
      <c r="K54" s="137"/>
      <c r="L54" s="137"/>
      <c r="M54" s="137"/>
      <c r="N54" s="137"/>
      <c r="O54" s="137"/>
      <c r="P54" s="142"/>
      <c r="Q54" s="137"/>
      <c r="R54" s="137"/>
      <c r="S54" s="137"/>
      <c r="T54" s="137"/>
      <c r="U54" s="137"/>
      <c r="V54" s="137"/>
      <c r="W54" s="137"/>
      <c r="X54" s="137"/>
      <c r="Y54" s="137"/>
      <c r="Z54" s="137"/>
    </row>
    <row r="55" ht="23.4" customHeight="1" spans="1:26">
      <c r="A55" s="133" t="s">
        <v>1248</v>
      </c>
      <c r="B55" s="136">
        <f t="shared" si="1"/>
        <v>0</v>
      </c>
      <c r="C55" s="137"/>
      <c r="D55" s="137"/>
      <c r="E55" s="137"/>
      <c r="F55" s="137"/>
      <c r="G55" s="137"/>
      <c r="H55" s="137"/>
      <c r="I55" s="137"/>
      <c r="J55" s="137"/>
      <c r="K55" s="137"/>
      <c r="L55" s="137"/>
      <c r="M55" s="137"/>
      <c r="N55" s="137"/>
      <c r="O55" s="137"/>
      <c r="P55" s="142"/>
      <c r="Q55" s="137"/>
      <c r="R55" s="137"/>
      <c r="S55" s="137"/>
      <c r="T55" s="137"/>
      <c r="U55" s="137"/>
      <c r="V55" s="137"/>
      <c r="W55" s="137"/>
      <c r="X55" s="137"/>
      <c r="Y55" s="137"/>
      <c r="Z55" s="137"/>
    </row>
    <row r="56" ht="23.4" customHeight="1" spans="1:26">
      <c r="A56" s="133" t="s">
        <v>1249</v>
      </c>
      <c r="B56" s="136">
        <f t="shared" si="1"/>
        <v>0</v>
      </c>
      <c r="C56" s="137"/>
      <c r="D56" s="137"/>
      <c r="E56" s="137"/>
      <c r="F56" s="137"/>
      <c r="G56" s="137"/>
      <c r="H56" s="137"/>
      <c r="I56" s="137"/>
      <c r="J56" s="137"/>
      <c r="K56" s="137"/>
      <c r="L56" s="137"/>
      <c r="M56" s="137"/>
      <c r="N56" s="137"/>
      <c r="O56" s="137"/>
      <c r="P56" s="142"/>
      <c r="Q56" s="137"/>
      <c r="R56" s="137"/>
      <c r="S56" s="137"/>
      <c r="T56" s="137"/>
      <c r="U56" s="137"/>
      <c r="V56" s="137"/>
      <c r="W56" s="137"/>
      <c r="X56" s="137"/>
      <c r="Y56" s="137"/>
      <c r="Z56" s="137"/>
    </row>
    <row r="57" hidden="1" spans="1:26">
      <c r="A57" s="133" t="s">
        <v>1250</v>
      </c>
      <c r="B57" s="135"/>
      <c r="C57" s="135"/>
      <c r="D57" s="135"/>
      <c r="E57" s="135"/>
      <c r="F57" s="135"/>
      <c r="G57" s="135"/>
      <c r="H57" s="135"/>
      <c r="I57" s="135"/>
      <c r="J57" s="135"/>
      <c r="K57" s="135"/>
      <c r="L57" s="135"/>
      <c r="M57" s="135"/>
      <c r="N57" s="135"/>
      <c r="O57" s="135"/>
      <c r="P57" s="141"/>
      <c r="Q57" s="135"/>
      <c r="R57" s="135"/>
      <c r="S57" s="135"/>
      <c r="T57" s="135"/>
      <c r="U57" s="135"/>
      <c r="V57" s="135"/>
      <c r="W57" s="135"/>
      <c r="X57" s="135"/>
      <c r="Y57" s="135"/>
      <c r="Z57" s="135"/>
    </row>
    <row r="58" hidden="1" spans="1:26">
      <c r="A58" s="133" t="s">
        <v>1251</v>
      </c>
      <c r="B58" s="135"/>
      <c r="C58" s="135"/>
      <c r="D58" s="135"/>
      <c r="E58" s="135"/>
      <c r="F58" s="135"/>
      <c r="G58" s="135"/>
      <c r="H58" s="135"/>
      <c r="I58" s="135"/>
      <c r="J58" s="135"/>
      <c r="K58" s="135"/>
      <c r="L58" s="135"/>
      <c r="M58" s="135"/>
      <c r="N58" s="135"/>
      <c r="O58" s="135"/>
      <c r="P58" s="141"/>
      <c r="Q58" s="135"/>
      <c r="R58" s="135"/>
      <c r="S58" s="135"/>
      <c r="T58" s="135"/>
      <c r="U58" s="135"/>
      <c r="V58" s="135"/>
      <c r="W58" s="135"/>
      <c r="X58" s="135"/>
      <c r="Y58" s="135"/>
      <c r="Z58" s="135"/>
    </row>
    <row r="59" hidden="1" spans="1:26">
      <c r="A59" s="133" t="s">
        <v>1252</v>
      </c>
      <c r="B59" s="135"/>
      <c r="C59" s="135"/>
      <c r="D59" s="135"/>
      <c r="E59" s="135"/>
      <c r="F59" s="135"/>
      <c r="G59" s="135"/>
      <c r="H59" s="135"/>
      <c r="I59" s="135"/>
      <c r="J59" s="135"/>
      <c r="K59" s="135"/>
      <c r="L59" s="135"/>
      <c r="M59" s="135"/>
      <c r="N59" s="135"/>
      <c r="O59" s="135"/>
      <c r="P59" s="141"/>
      <c r="Q59" s="135"/>
      <c r="R59" s="135"/>
      <c r="S59" s="135"/>
      <c r="T59" s="135"/>
      <c r="U59" s="135"/>
      <c r="V59" s="135"/>
      <c r="W59" s="135"/>
      <c r="X59" s="135"/>
      <c r="Y59" s="135"/>
      <c r="Z59" s="135"/>
    </row>
    <row r="60" hidden="1" spans="1:26">
      <c r="A60" s="133" t="s">
        <v>1253</v>
      </c>
      <c r="B60" s="135"/>
      <c r="C60" s="135"/>
      <c r="D60" s="135"/>
      <c r="E60" s="135"/>
      <c r="F60" s="135"/>
      <c r="G60" s="135"/>
      <c r="H60" s="135"/>
      <c r="I60" s="135"/>
      <c r="J60" s="135"/>
      <c r="K60" s="135"/>
      <c r="L60" s="135"/>
      <c r="M60" s="135"/>
      <c r="N60" s="135"/>
      <c r="O60" s="135"/>
      <c r="P60" s="141"/>
      <c r="Q60" s="135"/>
      <c r="R60" s="135"/>
      <c r="S60" s="135"/>
      <c r="T60" s="135"/>
      <c r="U60" s="135"/>
      <c r="V60" s="135"/>
      <c r="W60" s="135"/>
      <c r="X60" s="135"/>
      <c r="Y60" s="135"/>
      <c r="Z60" s="135"/>
    </row>
    <row r="61" hidden="1" spans="1:26">
      <c r="A61" s="133" t="s">
        <v>1254</v>
      </c>
      <c r="B61" s="135"/>
      <c r="C61" s="135"/>
      <c r="D61" s="135"/>
      <c r="E61" s="135"/>
      <c r="F61" s="135"/>
      <c r="G61" s="135"/>
      <c r="H61" s="135"/>
      <c r="I61" s="135"/>
      <c r="J61" s="135"/>
      <c r="K61" s="135"/>
      <c r="L61" s="135"/>
      <c r="M61" s="135"/>
      <c r="N61" s="135"/>
      <c r="O61" s="135"/>
      <c r="P61" s="141"/>
      <c r="Q61" s="135"/>
      <c r="R61" s="135"/>
      <c r="S61" s="135"/>
      <c r="T61" s="135"/>
      <c r="U61" s="135"/>
      <c r="V61" s="135"/>
      <c r="W61" s="135"/>
      <c r="X61" s="135"/>
      <c r="Y61" s="135"/>
      <c r="Z61" s="135"/>
    </row>
    <row r="62" hidden="1" spans="1:26">
      <c r="A62" s="133" t="s">
        <v>1255</v>
      </c>
      <c r="B62" s="135"/>
      <c r="C62" s="135"/>
      <c r="D62" s="135"/>
      <c r="E62" s="135"/>
      <c r="F62" s="135"/>
      <c r="G62" s="135"/>
      <c r="H62" s="135"/>
      <c r="I62" s="135"/>
      <c r="J62" s="135"/>
      <c r="K62" s="135"/>
      <c r="L62" s="135"/>
      <c r="M62" s="135"/>
      <c r="N62" s="135"/>
      <c r="O62" s="135"/>
      <c r="P62" s="141"/>
      <c r="Q62" s="135"/>
      <c r="R62" s="135"/>
      <c r="S62" s="135"/>
      <c r="T62" s="135"/>
      <c r="U62" s="135"/>
      <c r="V62" s="135"/>
      <c r="W62" s="135"/>
      <c r="X62" s="135"/>
      <c r="Y62" s="135"/>
      <c r="Z62" s="135"/>
    </row>
    <row r="63" hidden="1" spans="1:26">
      <c r="A63" s="133" t="s">
        <v>1256</v>
      </c>
      <c r="B63" s="135"/>
      <c r="C63" s="135"/>
      <c r="D63" s="135"/>
      <c r="E63" s="135"/>
      <c r="F63" s="135"/>
      <c r="G63" s="135"/>
      <c r="H63" s="135"/>
      <c r="I63" s="135"/>
      <c r="J63" s="135"/>
      <c r="K63" s="135"/>
      <c r="L63" s="135"/>
      <c r="M63" s="135"/>
      <c r="N63" s="135"/>
      <c r="O63" s="135"/>
      <c r="P63" s="141"/>
      <c r="Q63" s="135"/>
      <c r="R63" s="135"/>
      <c r="S63" s="135"/>
      <c r="T63" s="135"/>
      <c r="U63" s="135"/>
      <c r="V63" s="135"/>
      <c r="W63" s="135"/>
      <c r="X63" s="135"/>
      <c r="Y63" s="135"/>
      <c r="Z63" s="135"/>
    </row>
    <row r="64" hidden="1" spans="1:26">
      <c r="A64" s="133" t="s">
        <v>1257</v>
      </c>
      <c r="B64" s="135"/>
      <c r="C64" s="135"/>
      <c r="D64" s="135"/>
      <c r="E64" s="135"/>
      <c r="F64" s="135"/>
      <c r="G64" s="135"/>
      <c r="H64" s="135"/>
      <c r="I64" s="135"/>
      <c r="J64" s="135"/>
      <c r="K64" s="135"/>
      <c r="L64" s="135"/>
      <c r="M64" s="135"/>
      <c r="N64" s="135"/>
      <c r="O64" s="135"/>
      <c r="P64" s="141"/>
      <c r="Q64" s="135"/>
      <c r="R64" s="135"/>
      <c r="S64" s="135"/>
      <c r="T64" s="135"/>
      <c r="U64" s="135"/>
      <c r="V64" s="135"/>
      <c r="W64" s="135"/>
      <c r="X64" s="135"/>
      <c r="Y64" s="135"/>
      <c r="Z64" s="135"/>
    </row>
    <row r="65" hidden="1" spans="1:26">
      <c r="A65" s="133" t="s">
        <v>1258</v>
      </c>
      <c r="B65" s="135"/>
      <c r="C65" s="135"/>
      <c r="D65" s="135"/>
      <c r="E65" s="135"/>
      <c r="F65" s="135"/>
      <c r="G65" s="135"/>
      <c r="H65" s="135"/>
      <c r="I65" s="135"/>
      <c r="J65" s="135"/>
      <c r="K65" s="135"/>
      <c r="L65" s="135"/>
      <c r="M65" s="135"/>
      <c r="N65" s="135"/>
      <c r="O65" s="135"/>
      <c r="P65" s="141"/>
      <c r="Q65" s="135"/>
      <c r="R65" s="135"/>
      <c r="S65" s="135"/>
      <c r="T65" s="135"/>
      <c r="U65" s="135"/>
      <c r="V65" s="135"/>
      <c r="W65" s="135"/>
      <c r="X65" s="135"/>
      <c r="Y65" s="135"/>
      <c r="Z65" s="135"/>
    </row>
    <row r="66" hidden="1" spans="1:26">
      <c r="A66" s="133" t="s">
        <v>1259</v>
      </c>
      <c r="B66" s="135"/>
      <c r="C66" s="135"/>
      <c r="D66" s="135"/>
      <c r="E66" s="135"/>
      <c r="F66" s="135"/>
      <c r="G66" s="135"/>
      <c r="H66" s="135"/>
      <c r="I66" s="135"/>
      <c r="J66" s="135"/>
      <c r="K66" s="135"/>
      <c r="L66" s="135"/>
      <c r="M66" s="135"/>
      <c r="N66" s="135"/>
      <c r="O66" s="135"/>
      <c r="P66" s="141"/>
      <c r="Q66" s="135"/>
      <c r="R66" s="135"/>
      <c r="S66" s="135"/>
      <c r="T66" s="135"/>
      <c r="U66" s="135"/>
      <c r="V66" s="135"/>
      <c r="W66" s="135"/>
      <c r="X66" s="135"/>
      <c r="Y66" s="135"/>
      <c r="Z66" s="135"/>
    </row>
    <row r="67" hidden="1" spans="1:26">
      <c r="A67" s="133" t="s">
        <v>1260</v>
      </c>
      <c r="B67" s="135"/>
      <c r="C67" s="135"/>
      <c r="D67" s="135"/>
      <c r="E67" s="135"/>
      <c r="F67" s="135"/>
      <c r="G67" s="135"/>
      <c r="H67" s="135"/>
      <c r="I67" s="135"/>
      <c r="J67" s="135"/>
      <c r="K67" s="135"/>
      <c r="L67" s="135"/>
      <c r="M67" s="135"/>
      <c r="N67" s="135"/>
      <c r="O67" s="135"/>
      <c r="P67" s="141"/>
      <c r="Q67" s="135"/>
      <c r="R67" s="135"/>
      <c r="S67" s="135"/>
      <c r="T67" s="135"/>
      <c r="U67" s="135"/>
      <c r="V67" s="135"/>
      <c r="W67" s="135"/>
      <c r="X67" s="135"/>
      <c r="Y67" s="135"/>
      <c r="Z67" s="135"/>
    </row>
    <row r="68" hidden="1" spans="1:26">
      <c r="A68" s="133" t="s">
        <v>1261</v>
      </c>
      <c r="B68" s="135"/>
      <c r="C68" s="135"/>
      <c r="D68" s="135"/>
      <c r="E68" s="135"/>
      <c r="F68" s="135"/>
      <c r="G68" s="135"/>
      <c r="H68" s="135"/>
      <c r="I68" s="135"/>
      <c r="J68" s="135"/>
      <c r="K68" s="135"/>
      <c r="L68" s="135"/>
      <c r="M68" s="135"/>
      <c r="N68" s="135"/>
      <c r="O68" s="135"/>
      <c r="P68" s="141"/>
      <c r="Q68" s="135"/>
      <c r="R68" s="135"/>
      <c r="S68" s="135"/>
      <c r="T68" s="135"/>
      <c r="U68" s="135"/>
      <c r="V68" s="135"/>
      <c r="W68" s="135"/>
      <c r="X68" s="135"/>
      <c r="Y68" s="135"/>
      <c r="Z68" s="135"/>
    </row>
    <row r="69" hidden="1" spans="1:26">
      <c r="A69" s="133" t="s">
        <v>1262</v>
      </c>
      <c r="B69" s="135"/>
      <c r="C69" s="135"/>
      <c r="D69" s="135"/>
      <c r="E69" s="135"/>
      <c r="F69" s="135"/>
      <c r="G69" s="135"/>
      <c r="H69" s="135"/>
      <c r="I69" s="135"/>
      <c r="J69" s="135"/>
      <c r="K69" s="135"/>
      <c r="L69" s="135"/>
      <c r="M69" s="135"/>
      <c r="N69" s="135"/>
      <c r="O69" s="135"/>
      <c r="P69" s="141"/>
      <c r="Q69" s="135"/>
      <c r="R69" s="135"/>
      <c r="S69" s="135"/>
      <c r="T69" s="135"/>
      <c r="U69" s="135"/>
      <c r="V69" s="135"/>
      <c r="W69" s="135"/>
      <c r="X69" s="135"/>
      <c r="Y69" s="135"/>
      <c r="Z69" s="135"/>
    </row>
    <row r="70" hidden="1" spans="1:26">
      <c r="A70" s="133" t="s">
        <v>1263</v>
      </c>
      <c r="B70" s="135"/>
      <c r="C70" s="135"/>
      <c r="D70" s="135"/>
      <c r="E70" s="135"/>
      <c r="F70" s="135"/>
      <c r="G70" s="135"/>
      <c r="H70" s="135"/>
      <c r="I70" s="135"/>
      <c r="J70" s="135"/>
      <c r="K70" s="135"/>
      <c r="L70" s="135"/>
      <c r="M70" s="135"/>
      <c r="N70" s="135"/>
      <c r="O70" s="135"/>
      <c r="P70" s="141"/>
      <c r="Q70" s="135"/>
      <c r="R70" s="135"/>
      <c r="S70" s="135"/>
      <c r="T70" s="135"/>
      <c r="U70" s="135"/>
      <c r="V70" s="135"/>
      <c r="W70" s="135"/>
      <c r="X70" s="135"/>
      <c r="Y70" s="135"/>
      <c r="Z70" s="135"/>
    </row>
    <row r="71" hidden="1" spans="1:26">
      <c r="A71" s="133" t="s">
        <v>1264</v>
      </c>
      <c r="B71" s="135"/>
      <c r="C71" s="135"/>
      <c r="D71" s="135"/>
      <c r="E71" s="135"/>
      <c r="F71" s="135"/>
      <c r="G71" s="135"/>
      <c r="H71" s="135"/>
      <c r="I71" s="135"/>
      <c r="J71" s="135"/>
      <c r="K71" s="135"/>
      <c r="L71" s="135"/>
      <c r="M71" s="135"/>
      <c r="N71" s="135"/>
      <c r="O71" s="135"/>
      <c r="P71" s="141"/>
      <c r="Q71" s="135"/>
      <c r="R71" s="135"/>
      <c r="S71" s="135"/>
      <c r="T71" s="135"/>
      <c r="U71" s="135"/>
      <c r="V71" s="135"/>
      <c r="W71" s="135"/>
      <c r="X71" s="135"/>
      <c r="Y71" s="135"/>
      <c r="Z71" s="135"/>
    </row>
    <row r="72" hidden="1" spans="1:26">
      <c r="A72" s="133" t="s">
        <v>1265</v>
      </c>
      <c r="B72" s="135"/>
      <c r="C72" s="135"/>
      <c r="D72" s="135"/>
      <c r="E72" s="135"/>
      <c r="F72" s="135"/>
      <c r="G72" s="135"/>
      <c r="H72" s="135"/>
      <c r="I72" s="135"/>
      <c r="J72" s="135"/>
      <c r="K72" s="135"/>
      <c r="L72" s="135"/>
      <c r="M72" s="135"/>
      <c r="N72" s="135"/>
      <c r="O72" s="135"/>
      <c r="P72" s="141"/>
      <c r="Q72" s="135"/>
      <c r="R72" s="135"/>
      <c r="S72" s="135"/>
      <c r="T72" s="135"/>
      <c r="U72" s="135"/>
      <c r="V72" s="135"/>
      <c r="W72" s="135"/>
      <c r="X72" s="135"/>
      <c r="Y72" s="135"/>
      <c r="Z72" s="135"/>
    </row>
    <row r="73" hidden="1" spans="1:26">
      <c r="A73" s="133" t="s">
        <v>1266</v>
      </c>
      <c r="B73" s="135"/>
      <c r="C73" s="135"/>
      <c r="D73" s="135"/>
      <c r="E73" s="135"/>
      <c r="F73" s="135"/>
      <c r="G73" s="135"/>
      <c r="H73" s="135"/>
      <c r="I73" s="135"/>
      <c r="J73" s="135"/>
      <c r="K73" s="135"/>
      <c r="L73" s="135"/>
      <c r="M73" s="135"/>
      <c r="N73" s="135"/>
      <c r="O73" s="135"/>
      <c r="P73" s="141"/>
      <c r="Q73" s="135"/>
      <c r="R73" s="135"/>
      <c r="S73" s="135"/>
      <c r="T73" s="135"/>
      <c r="U73" s="135"/>
      <c r="V73" s="135"/>
      <c r="W73" s="135"/>
      <c r="X73" s="135"/>
      <c r="Y73" s="135"/>
      <c r="Z73" s="135"/>
    </row>
    <row r="74" hidden="1" spans="1:26">
      <c r="A74" s="133" t="s">
        <v>1267</v>
      </c>
      <c r="B74" s="135"/>
      <c r="C74" s="135"/>
      <c r="D74" s="135"/>
      <c r="E74" s="135"/>
      <c r="F74" s="135"/>
      <c r="G74" s="135"/>
      <c r="H74" s="135"/>
      <c r="I74" s="135"/>
      <c r="J74" s="135"/>
      <c r="K74" s="135"/>
      <c r="L74" s="135"/>
      <c r="M74" s="135"/>
      <c r="N74" s="135"/>
      <c r="O74" s="135"/>
      <c r="P74" s="141"/>
      <c r="Q74" s="135"/>
      <c r="R74" s="135"/>
      <c r="S74" s="135"/>
      <c r="T74" s="135"/>
      <c r="U74" s="135"/>
      <c r="V74" s="135"/>
      <c r="W74" s="135"/>
      <c r="X74" s="135"/>
      <c r="Y74" s="135"/>
      <c r="Z74" s="135"/>
    </row>
    <row r="75" hidden="1" spans="1:26">
      <c r="A75" s="133" t="s">
        <v>1268</v>
      </c>
      <c r="B75" s="135"/>
      <c r="C75" s="135"/>
      <c r="D75" s="135"/>
      <c r="E75" s="135"/>
      <c r="F75" s="135"/>
      <c r="G75" s="135"/>
      <c r="H75" s="135"/>
      <c r="I75" s="135"/>
      <c r="J75" s="135"/>
      <c r="K75" s="135"/>
      <c r="L75" s="135"/>
      <c r="M75" s="135"/>
      <c r="N75" s="135"/>
      <c r="O75" s="135"/>
      <c r="P75" s="141"/>
      <c r="Q75" s="135"/>
      <c r="R75" s="135"/>
      <c r="S75" s="135"/>
      <c r="T75" s="135"/>
      <c r="U75" s="135"/>
      <c r="V75" s="135"/>
      <c r="W75" s="135"/>
      <c r="X75" s="135"/>
      <c r="Y75" s="135"/>
      <c r="Z75" s="135"/>
    </row>
    <row r="76" hidden="1" spans="1:26">
      <c r="A76" s="133" t="s">
        <v>1269</v>
      </c>
      <c r="B76" s="135"/>
      <c r="C76" s="135"/>
      <c r="D76" s="135"/>
      <c r="E76" s="135"/>
      <c r="F76" s="135"/>
      <c r="G76" s="135"/>
      <c r="H76" s="135"/>
      <c r="I76" s="135"/>
      <c r="J76" s="135"/>
      <c r="K76" s="135"/>
      <c r="L76" s="135"/>
      <c r="M76" s="135"/>
      <c r="N76" s="135"/>
      <c r="O76" s="135"/>
      <c r="P76" s="141"/>
      <c r="Q76" s="135"/>
      <c r="R76" s="135"/>
      <c r="S76" s="135"/>
      <c r="T76" s="135"/>
      <c r="U76" s="135"/>
      <c r="V76" s="135"/>
      <c r="W76" s="135"/>
      <c r="X76" s="135"/>
      <c r="Y76" s="135"/>
      <c r="Z76" s="135"/>
    </row>
    <row r="77" hidden="1" spans="1:26">
      <c r="A77" s="133" t="s">
        <v>1270</v>
      </c>
      <c r="B77" s="135"/>
      <c r="C77" s="135"/>
      <c r="D77" s="135"/>
      <c r="E77" s="135"/>
      <c r="F77" s="135"/>
      <c r="G77" s="135"/>
      <c r="H77" s="135"/>
      <c r="I77" s="135"/>
      <c r="J77" s="135"/>
      <c r="K77" s="135"/>
      <c r="L77" s="135"/>
      <c r="M77" s="135"/>
      <c r="N77" s="135"/>
      <c r="O77" s="135"/>
      <c r="P77" s="141"/>
      <c r="Q77" s="135"/>
      <c r="R77" s="135"/>
      <c r="S77" s="135"/>
      <c r="T77" s="135"/>
      <c r="U77" s="135"/>
      <c r="V77" s="135"/>
      <c r="W77" s="135"/>
      <c r="X77" s="135"/>
      <c r="Y77" s="135"/>
      <c r="Z77" s="135"/>
    </row>
    <row r="78" hidden="1" spans="1:26">
      <c r="A78" s="133" t="s">
        <v>1271</v>
      </c>
      <c r="B78" s="135"/>
      <c r="C78" s="135"/>
      <c r="D78" s="135"/>
      <c r="E78" s="135"/>
      <c r="F78" s="135"/>
      <c r="G78" s="135"/>
      <c r="H78" s="135"/>
      <c r="I78" s="135"/>
      <c r="J78" s="135"/>
      <c r="K78" s="135"/>
      <c r="L78" s="135"/>
      <c r="M78" s="135"/>
      <c r="N78" s="135"/>
      <c r="O78" s="135"/>
      <c r="P78" s="141"/>
      <c r="Q78" s="135"/>
      <c r="R78" s="135"/>
      <c r="S78" s="135"/>
      <c r="T78" s="135"/>
      <c r="U78" s="135"/>
      <c r="V78" s="135"/>
      <c r="W78" s="135"/>
      <c r="X78" s="135"/>
      <c r="Y78" s="135"/>
      <c r="Z78" s="135"/>
    </row>
    <row r="79" hidden="1" spans="1:26">
      <c r="A79" s="133" t="s">
        <v>1272</v>
      </c>
      <c r="B79" s="135"/>
      <c r="C79" s="135"/>
      <c r="D79" s="135"/>
      <c r="E79" s="135"/>
      <c r="F79" s="135"/>
      <c r="G79" s="135"/>
      <c r="H79" s="135"/>
      <c r="I79" s="135"/>
      <c r="J79" s="135"/>
      <c r="K79" s="135"/>
      <c r="L79" s="135"/>
      <c r="M79" s="135"/>
      <c r="N79" s="135"/>
      <c r="O79" s="135"/>
      <c r="P79" s="141"/>
      <c r="Q79" s="135"/>
      <c r="R79" s="135"/>
      <c r="S79" s="135"/>
      <c r="T79" s="135"/>
      <c r="U79" s="135"/>
      <c r="V79" s="135"/>
      <c r="W79" s="135"/>
      <c r="X79" s="135"/>
      <c r="Y79" s="135"/>
      <c r="Z79" s="135"/>
    </row>
    <row r="80" hidden="1" spans="1:26">
      <c r="A80" s="133" t="s">
        <v>1273</v>
      </c>
      <c r="B80" s="135"/>
      <c r="C80" s="135"/>
      <c r="D80" s="135"/>
      <c r="E80" s="135"/>
      <c r="F80" s="135"/>
      <c r="G80" s="135"/>
      <c r="H80" s="135"/>
      <c r="I80" s="135"/>
      <c r="J80" s="135"/>
      <c r="K80" s="135"/>
      <c r="L80" s="135"/>
      <c r="M80" s="135"/>
      <c r="N80" s="135"/>
      <c r="O80" s="135"/>
      <c r="P80" s="141"/>
      <c r="Q80" s="135"/>
      <c r="R80" s="135"/>
      <c r="S80" s="135"/>
      <c r="T80" s="135"/>
      <c r="U80" s="135"/>
      <c r="V80" s="135"/>
      <c r="W80" s="135"/>
      <c r="X80" s="135"/>
      <c r="Y80" s="135"/>
      <c r="Z80" s="135"/>
    </row>
    <row r="81" hidden="1" spans="1:26">
      <c r="A81" s="133" t="s">
        <v>1274</v>
      </c>
      <c r="B81" s="135"/>
      <c r="C81" s="135"/>
      <c r="D81" s="135"/>
      <c r="E81" s="135"/>
      <c r="F81" s="135"/>
      <c r="G81" s="135"/>
      <c r="H81" s="135"/>
      <c r="I81" s="135"/>
      <c r="J81" s="135"/>
      <c r="K81" s="135"/>
      <c r="L81" s="135"/>
      <c r="M81" s="135"/>
      <c r="N81" s="135"/>
      <c r="O81" s="135"/>
      <c r="P81" s="141"/>
      <c r="Q81" s="135"/>
      <c r="R81" s="135"/>
      <c r="S81" s="135"/>
      <c r="T81" s="135"/>
      <c r="U81" s="135"/>
      <c r="V81" s="135"/>
      <c r="W81" s="135"/>
      <c r="X81" s="135"/>
      <c r="Y81" s="135"/>
      <c r="Z81" s="135"/>
    </row>
    <row r="82" hidden="1" spans="1:26">
      <c r="A82" s="133" t="s">
        <v>1275</v>
      </c>
      <c r="B82" s="135"/>
      <c r="C82" s="135"/>
      <c r="D82" s="135"/>
      <c r="E82" s="135"/>
      <c r="F82" s="135"/>
      <c r="G82" s="135"/>
      <c r="H82" s="135"/>
      <c r="I82" s="135"/>
      <c r="J82" s="135"/>
      <c r="K82" s="135"/>
      <c r="L82" s="135"/>
      <c r="M82" s="135"/>
      <c r="N82" s="135"/>
      <c r="O82" s="135"/>
      <c r="P82" s="141"/>
      <c r="Q82" s="135"/>
      <c r="R82" s="135"/>
      <c r="S82" s="135"/>
      <c r="T82" s="135"/>
      <c r="U82" s="135"/>
      <c r="V82" s="135"/>
      <c r="W82" s="135"/>
      <c r="X82" s="135"/>
      <c r="Y82" s="135"/>
      <c r="Z82" s="135"/>
    </row>
    <row r="83" hidden="1" spans="1:26">
      <c r="A83" s="133" t="s">
        <v>1276</v>
      </c>
      <c r="B83" s="135"/>
      <c r="C83" s="135"/>
      <c r="D83" s="135"/>
      <c r="E83" s="135"/>
      <c r="F83" s="135"/>
      <c r="G83" s="135"/>
      <c r="H83" s="135"/>
      <c r="I83" s="135"/>
      <c r="J83" s="135"/>
      <c r="K83" s="135"/>
      <c r="L83" s="135"/>
      <c r="M83" s="135"/>
      <c r="N83" s="135"/>
      <c r="O83" s="135"/>
      <c r="P83" s="141"/>
      <c r="Q83" s="135"/>
      <c r="R83" s="135"/>
      <c r="S83" s="135"/>
      <c r="T83" s="135"/>
      <c r="U83" s="135"/>
      <c r="V83" s="135"/>
      <c r="W83" s="135"/>
      <c r="X83" s="135"/>
      <c r="Y83" s="135"/>
      <c r="Z83" s="135"/>
    </row>
    <row r="84" hidden="1" spans="1:26">
      <c r="A84" s="133" t="s">
        <v>1277</v>
      </c>
      <c r="B84" s="135"/>
      <c r="C84" s="135"/>
      <c r="D84" s="135"/>
      <c r="E84" s="135"/>
      <c r="F84" s="135"/>
      <c r="G84" s="135"/>
      <c r="H84" s="135"/>
      <c r="I84" s="135"/>
      <c r="J84" s="135"/>
      <c r="K84" s="135"/>
      <c r="L84" s="135"/>
      <c r="M84" s="135"/>
      <c r="N84" s="135"/>
      <c r="O84" s="135"/>
      <c r="P84" s="141"/>
      <c r="Q84" s="135"/>
      <c r="R84" s="135"/>
      <c r="S84" s="135"/>
      <c r="T84" s="135"/>
      <c r="U84" s="135"/>
      <c r="V84" s="135"/>
      <c r="W84" s="135"/>
      <c r="X84" s="135"/>
      <c r="Y84" s="135"/>
      <c r="Z84" s="135"/>
    </row>
    <row r="85" hidden="1" spans="1:26">
      <c r="A85" s="133" t="s">
        <v>1278</v>
      </c>
      <c r="B85" s="135"/>
      <c r="C85" s="135"/>
      <c r="D85" s="135"/>
      <c r="E85" s="135"/>
      <c r="F85" s="135"/>
      <c r="G85" s="135"/>
      <c r="H85" s="135"/>
      <c r="I85" s="135"/>
      <c r="J85" s="135"/>
      <c r="K85" s="135"/>
      <c r="L85" s="135"/>
      <c r="M85" s="135"/>
      <c r="N85" s="135"/>
      <c r="O85" s="135"/>
      <c r="P85" s="141"/>
      <c r="Q85" s="135"/>
      <c r="R85" s="135"/>
      <c r="S85" s="135"/>
      <c r="T85" s="135"/>
      <c r="U85" s="135"/>
      <c r="V85" s="135"/>
      <c r="W85" s="135"/>
      <c r="X85" s="135"/>
      <c r="Y85" s="135"/>
      <c r="Z85" s="135"/>
    </row>
    <row r="86" hidden="1" spans="1:26">
      <c r="A86" s="133" t="s">
        <v>1279</v>
      </c>
      <c r="B86" s="135"/>
      <c r="C86" s="135"/>
      <c r="D86" s="135"/>
      <c r="E86" s="135"/>
      <c r="F86" s="135"/>
      <c r="G86" s="135"/>
      <c r="H86" s="135"/>
      <c r="I86" s="135"/>
      <c r="J86" s="135"/>
      <c r="K86" s="135"/>
      <c r="L86" s="135"/>
      <c r="M86" s="135"/>
      <c r="N86" s="135"/>
      <c r="O86" s="135"/>
      <c r="P86" s="141"/>
      <c r="Q86" s="135"/>
      <c r="R86" s="135"/>
      <c r="S86" s="135"/>
      <c r="T86" s="135"/>
      <c r="U86" s="135"/>
      <c r="V86" s="135"/>
      <c r="W86" s="135"/>
      <c r="X86" s="135"/>
      <c r="Y86" s="135"/>
      <c r="Z86" s="135"/>
    </row>
    <row r="87" hidden="1" spans="1:26">
      <c r="A87" s="133" t="s">
        <v>1280</v>
      </c>
      <c r="B87" s="135"/>
      <c r="C87" s="135"/>
      <c r="D87" s="135"/>
      <c r="E87" s="135"/>
      <c r="F87" s="135"/>
      <c r="G87" s="135"/>
      <c r="H87" s="135"/>
      <c r="I87" s="135"/>
      <c r="J87" s="135"/>
      <c r="K87" s="135"/>
      <c r="L87" s="135"/>
      <c r="M87" s="135"/>
      <c r="N87" s="135"/>
      <c r="O87" s="135"/>
      <c r="P87" s="141"/>
      <c r="Q87" s="135"/>
      <c r="R87" s="135"/>
      <c r="S87" s="135"/>
      <c r="T87" s="135"/>
      <c r="U87" s="135"/>
      <c r="V87" s="135"/>
      <c r="W87" s="135"/>
      <c r="X87" s="135"/>
      <c r="Y87" s="135"/>
      <c r="Z87" s="135"/>
    </row>
    <row r="88" hidden="1" spans="1:26">
      <c r="A88" s="133" t="s">
        <v>1281</v>
      </c>
      <c r="B88" s="135"/>
      <c r="C88" s="135"/>
      <c r="D88" s="135"/>
      <c r="E88" s="135"/>
      <c r="F88" s="135"/>
      <c r="G88" s="135"/>
      <c r="H88" s="135"/>
      <c r="I88" s="135"/>
      <c r="J88" s="135"/>
      <c r="K88" s="135"/>
      <c r="L88" s="135"/>
      <c r="M88" s="135"/>
      <c r="N88" s="135"/>
      <c r="O88" s="135"/>
      <c r="P88" s="141"/>
      <c r="Q88" s="135"/>
      <c r="R88" s="135"/>
      <c r="S88" s="135"/>
      <c r="T88" s="135"/>
      <c r="U88" s="135"/>
      <c r="V88" s="135"/>
      <c r="W88" s="135"/>
      <c r="X88" s="135"/>
      <c r="Y88" s="135"/>
      <c r="Z88" s="135"/>
    </row>
    <row r="89" hidden="1" spans="1:26">
      <c r="A89" s="133" t="s">
        <v>1282</v>
      </c>
      <c r="B89" s="135"/>
      <c r="C89" s="135"/>
      <c r="D89" s="135"/>
      <c r="E89" s="135"/>
      <c r="F89" s="135"/>
      <c r="G89" s="135"/>
      <c r="H89" s="135"/>
      <c r="I89" s="135"/>
      <c r="J89" s="135"/>
      <c r="K89" s="135"/>
      <c r="L89" s="135"/>
      <c r="M89" s="135"/>
      <c r="N89" s="135"/>
      <c r="O89" s="135"/>
      <c r="P89" s="141"/>
      <c r="Q89" s="135"/>
      <c r="R89" s="135"/>
      <c r="S89" s="135"/>
      <c r="T89" s="135"/>
      <c r="U89" s="135"/>
      <c r="V89" s="135"/>
      <c r="W89" s="135"/>
      <c r="X89" s="135"/>
      <c r="Y89" s="135"/>
      <c r="Z89" s="135"/>
    </row>
    <row r="90" hidden="1" spans="1:26">
      <c r="A90" s="133" t="s">
        <v>1283</v>
      </c>
      <c r="B90" s="135"/>
      <c r="C90" s="135"/>
      <c r="D90" s="135"/>
      <c r="E90" s="135"/>
      <c r="F90" s="135"/>
      <c r="G90" s="135"/>
      <c r="H90" s="135"/>
      <c r="I90" s="135"/>
      <c r="J90" s="135"/>
      <c r="K90" s="135"/>
      <c r="L90" s="135"/>
      <c r="M90" s="135"/>
      <c r="N90" s="135"/>
      <c r="O90" s="135"/>
      <c r="P90" s="141"/>
      <c r="Q90" s="135"/>
      <c r="R90" s="135"/>
      <c r="S90" s="135"/>
      <c r="T90" s="135"/>
      <c r="U90" s="135"/>
      <c r="V90" s="135"/>
      <c r="W90" s="135"/>
      <c r="X90" s="135"/>
      <c r="Y90" s="135"/>
      <c r="Z90" s="135"/>
    </row>
    <row r="91" hidden="1" spans="1:26">
      <c r="A91" s="133" t="s">
        <v>1284</v>
      </c>
      <c r="B91" s="135"/>
      <c r="C91" s="135"/>
      <c r="D91" s="135"/>
      <c r="E91" s="135"/>
      <c r="F91" s="135"/>
      <c r="G91" s="135"/>
      <c r="H91" s="135"/>
      <c r="I91" s="135"/>
      <c r="J91" s="135"/>
      <c r="K91" s="135"/>
      <c r="L91" s="135"/>
      <c r="M91" s="135"/>
      <c r="N91" s="135"/>
      <c r="O91" s="135"/>
      <c r="P91" s="141"/>
      <c r="Q91" s="135"/>
      <c r="R91" s="135"/>
      <c r="S91" s="135"/>
      <c r="T91" s="135"/>
      <c r="U91" s="135"/>
      <c r="V91" s="135"/>
      <c r="W91" s="135"/>
      <c r="X91" s="135"/>
      <c r="Y91" s="135"/>
      <c r="Z91" s="135"/>
    </row>
    <row r="92" hidden="1" spans="1:26">
      <c r="A92" s="133" t="s">
        <v>1285</v>
      </c>
      <c r="B92" s="135"/>
      <c r="C92" s="135"/>
      <c r="D92" s="135"/>
      <c r="E92" s="135"/>
      <c r="F92" s="135"/>
      <c r="G92" s="135"/>
      <c r="H92" s="135"/>
      <c r="I92" s="135"/>
      <c r="J92" s="135"/>
      <c r="K92" s="135"/>
      <c r="L92" s="135"/>
      <c r="M92" s="135"/>
      <c r="N92" s="135"/>
      <c r="O92" s="135"/>
      <c r="P92" s="141"/>
      <c r="Q92" s="135"/>
      <c r="R92" s="135"/>
      <c r="S92" s="135"/>
      <c r="T92" s="135"/>
      <c r="U92" s="135"/>
      <c r="V92" s="135"/>
      <c r="W92" s="135"/>
      <c r="X92" s="135"/>
      <c r="Y92" s="135"/>
      <c r="Z92" s="135"/>
    </row>
    <row r="93" hidden="1" spans="1:26">
      <c r="A93" s="133" t="s">
        <v>1286</v>
      </c>
      <c r="B93" s="135"/>
      <c r="C93" s="135"/>
      <c r="D93" s="135"/>
      <c r="E93" s="135"/>
      <c r="F93" s="135"/>
      <c r="G93" s="135"/>
      <c r="H93" s="135"/>
      <c r="I93" s="135"/>
      <c r="J93" s="135"/>
      <c r="K93" s="135"/>
      <c r="L93" s="135"/>
      <c r="M93" s="135"/>
      <c r="N93" s="135"/>
      <c r="O93" s="135"/>
      <c r="P93" s="141"/>
      <c r="Q93" s="135"/>
      <c r="R93" s="135"/>
      <c r="S93" s="135"/>
      <c r="T93" s="135"/>
      <c r="U93" s="135"/>
      <c r="V93" s="135"/>
      <c r="W93" s="135"/>
      <c r="X93" s="135"/>
      <c r="Y93" s="135"/>
      <c r="Z93" s="135"/>
    </row>
    <row r="94" hidden="1" spans="1:26">
      <c r="A94" s="133" t="s">
        <v>1287</v>
      </c>
      <c r="B94" s="135"/>
      <c r="C94" s="135"/>
      <c r="D94" s="135"/>
      <c r="E94" s="135"/>
      <c r="F94" s="135"/>
      <c r="G94" s="135"/>
      <c r="H94" s="135"/>
      <c r="I94" s="135"/>
      <c r="J94" s="135"/>
      <c r="K94" s="135"/>
      <c r="L94" s="135"/>
      <c r="M94" s="135"/>
      <c r="N94" s="135"/>
      <c r="O94" s="135"/>
      <c r="P94" s="141"/>
      <c r="Q94" s="135"/>
      <c r="R94" s="135"/>
      <c r="S94" s="135"/>
      <c r="T94" s="135"/>
      <c r="U94" s="135"/>
      <c r="V94" s="135"/>
      <c r="W94" s="135"/>
      <c r="X94" s="135"/>
      <c r="Y94" s="135"/>
      <c r="Z94" s="135"/>
    </row>
    <row r="95" hidden="1" spans="1:26">
      <c r="A95" s="133" t="s">
        <v>1288</v>
      </c>
      <c r="B95" s="135"/>
      <c r="C95" s="135"/>
      <c r="D95" s="135"/>
      <c r="E95" s="135"/>
      <c r="F95" s="135"/>
      <c r="G95" s="135"/>
      <c r="H95" s="135"/>
      <c r="I95" s="135"/>
      <c r="J95" s="135"/>
      <c r="K95" s="135"/>
      <c r="L95" s="135"/>
      <c r="M95" s="135"/>
      <c r="N95" s="135"/>
      <c r="O95" s="135"/>
      <c r="P95" s="141"/>
      <c r="Q95" s="135"/>
      <c r="R95" s="135"/>
      <c r="S95" s="135"/>
      <c r="T95" s="135"/>
      <c r="U95" s="135"/>
      <c r="V95" s="135"/>
      <c r="W95" s="135"/>
      <c r="X95" s="135"/>
      <c r="Y95" s="135"/>
      <c r="Z95" s="135"/>
    </row>
    <row r="96" hidden="1" spans="1:26">
      <c r="A96" s="133" t="s">
        <v>1289</v>
      </c>
      <c r="B96" s="135"/>
      <c r="C96" s="135"/>
      <c r="D96" s="135"/>
      <c r="E96" s="135"/>
      <c r="F96" s="135"/>
      <c r="G96" s="135"/>
      <c r="H96" s="135"/>
      <c r="I96" s="135"/>
      <c r="J96" s="135"/>
      <c r="K96" s="135"/>
      <c r="L96" s="135"/>
      <c r="M96" s="135"/>
      <c r="N96" s="135"/>
      <c r="O96" s="135"/>
      <c r="P96" s="141"/>
      <c r="Q96" s="135"/>
      <c r="R96" s="135"/>
      <c r="S96" s="135"/>
      <c r="T96" s="135"/>
      <c r="U96" s="135"/>
      <c r="V96" s="135"/>
      <c r="W96" s="135"/>
      <c r="X96" s="135"/>
      <c r="Y96" s="135"/>
      <c r="Z96" s="135"/>
    </row>
    <row r="97" hidden="1" spans="1:26">
      <c r="A97" s="133" t="s">
        <v>1290</v>
      </c>
      <c r="B97" s="135"/>
      <c r="C97" s="135"/>
      <c r="D97" s="135"/>
      <c r="E97" s="135"/>
      <c r="F97" s="135"/>
      <c r="G97" s="135"/>
      <c r="H97" s="135"/>
      <c r="I97" s="135"/>
      <c r="J97" s="135"/>
      <c r="K97" s="135"/>
      <c r="L97" s="135"/>
      <c r="M97" s="135"/>
      <c r="N97" s="135"/>
      <c r="O97" s="135"/>
      <c r="P97" s="141"/>
      <c r="Q97" s="135"/>
      <c r="R97" s="135"/>
      <c r="S97" s="135"/>
      <c r="T97" s="135"/>
      <c r="U97" s="135"/>
      <c r="V97" s="135"/>
      <c r="W97" s="135"/>
      <c r="X97" s="135"/>
      <c r="Y97" s="135"/>
      <c r="Z97" s="135"/>
    </row>
    <row r="98" hidden="1" spans="1:26">
      <c r="A98" s="133" t="s">
        <v>1291</v>
      </c>
      <c r="B98" s="135"/>
      <c r="C98" s="135"/>
      <c r="D98" s="135"/>
      <c r="E98" s="135"/>
      <c r="F98" s="135"/>
      <c r="G98" s="135"/>
      <c r="H98" s="135"/>
      <c r="I98" s="135"/>
      <c r="J98" s="135"/>
      <c r="K98" s="135"/>
      <c r="L98" s="135"/>
      <c r="M98" s="135"/>
      <c r="N98" s="135"/>
      <c r="O98" s="135"/>
      <c r="P98" s="141"/>
      <c r="Q98" s="135"/>
      <c r="R98" s="135"/>
      <c r="S98" s="135"/>
      <c r="T98" s="135"/>
      <c r="U98" s="135"/>
      <c r="V98" s="135"/>
      <c r="W98" s="135"/>
      <c r="X98" s="135"/>
      <c r="Y98" s="135"/>
      <c r="Z98" s="135"/>
    </row>
    <row r="99" hidden="1" spans="1:26">
      <c r="A99" s="133" t="s">
        <v>1292</v>
      </c>
      <c r="B99" s="135"/>
      <c r="C99" s="135"/>
      <c r="D99" s="135"/>
      <c r="E99" s="135"/>
      <c r="F99" s="135"/>
      <c r="G99" s="135"/>
      <c r="H99" s="135"/>
      <c r="I99" s="135"/>
      <c r="J99" s="135"/>
      <c r="K99" s="135"/>
      <c r="L99" s="135"/>
      <c r="M99" s="135"/>
      <c r="N99" s="135"/>
      <c r="O99" s="135"/>
      <c r="P99" s="141"/>
      <c r="Q99" s="135"/>
      <c r="R99" s="135"/>
      <c r="S99" s="135"/>
      <c r="T99" s="135"/>
      <c r="U99" s="135"/>
      <c r="V99" s="135"/>
      <c r="W99" s="135"/>
      <c r="X99" s="135"/>
      <c r="Y99" s="135"/>
      <c r="Z99" s="135"/>
    </row>
    <row r="100" hidden="1" spans="1:26">
      <c r="A100" s="133" t="s">
        <v>1293</v>
      </c>
      <c r="B100" s="135"/>
      <c r="C100" s="135"/>
      <c r="D100" s="135"/>
      <c r="E100" s="135"/>
      <c r="F100" s="135"/>
      <c r="G100" s="135"/>
      <c r="H100" s="135"/>
      <c r="I100" s="135"/>
      <c r="J100" s="135"/>
      <c r="K100" s="135"/>
      <c r="L100" s="135"/>
      <c r="M100" s="135"/>
      <c r="N100" s="135"/>
      <c r="O100" s="135"/>
      <c r="P100" s="141"/>
      <c r="Q100" s="135"/>
      <c r="R100" s="135"/>
      <c r="S100" s="135"/>
      <c r="T100" s="135"/>
      <c r="U100" s="135"/>
      <c r="V100" s="135"/>
      <c r="W100" s="135"/>
      <c r="X100" s="135"/>
      <c r="Y100" s="135"/>
      <c r="Z100" s="135"/>
    </row>
    <row r="101" hidden="1" spans="1:26">
      <c r="A101" s="133" t="s">
        <v>1294</v>
      </c>
      <c r="B101" s="135"/>
      <c r="C101" s="135"/>
      <c r="D101" s="135"/>
      <c r="E101" s="135"/>
      <c r="F101" s="135"/>
      <c r="G101" s="135"/>
      <c r="H101" s="135"/>
      <c r="I101" s="135"/>
      <c r="J101" s="135"/>
      <c r="K101" s="135"/>
      <c r="L101" s="135"/>
      <c r="M101" s="135"/>
      <c r="N101" s="135"/>
      <c r="O101" s="135"/>
      <c r="P101" s="141"/>
      <c r="Q101" s="135"/>
      <c r="R101" s="135"/>
      <c r="S101" s="135"/>
      <c r="T101" s="135"/>
      <c r="U101" s="135"/>
      <c r="V101" s="135"/>
      <c r="W101" s="135"/>
      <c r="X101" s="135"/>
      <c r="Y101" s="135"/>
      <c r="Z101" s="135"/>
    </row>
    <row r="102" hidden="1" spans="1:26">
      <c r="A102" s="133" t="s">
        <v>1295</v>
      </c>
      <c r="B102" s="135"/>
      <c r="C102" s="135"/>
      <c r="D102" s="135"/>
      <c r="E102" s="135"/>
      <c r="F102" s="135"/>
      <c r="G102" s="135"/>
      <c r="H102" s="135"/>
      <c r="I102" s="135"/>
      <c r="J102" s="135"/>
      <c r="K102" s="135"/>
      <c r="L102" s="135"/>
      <c r="M102" s="135"/>
      <c r="N102" s="135"/>
      <c r="O102" s="135"/>
      <c r="P102" s="141"/>
      <c r="Q102" s="135"/>
      <c r="R102" s="135"/>
      <c r="S102" s="135"/>
      <c r="T102" s="135"/>
      <c r="U102" s="135"/>
      <c r="V102" s="135"/>
      <c r="W102" s="135"/>
      <c r="X102" s="135"/>
      <c r="Y102" s="135"/>
      <c r="Z102" s="135"/>
    </row>
    <row r="103" hidden="1" spans="1:26">
      <c r="A103" s="133" t="s">
        <v>1296</v>
      </c>
      <c r="B103" s="135"/>
      <c r="C103" s="135"/>
      <c r="D103" s="135"/>
      <c r="E103" s="135"/>
      <c r="F103" s="135"/>
      <c r="G103" s="135"/>
      <c r="H103" s="135"/>
      <c r="I103" s="135"/>
      <c r="J103" s="135"/>
      <c r="K103" s="135"/>
      <c r="L103" s="135"/>
      <c r="M103" s="135"/>
      <c r="N103" s="135"/>
      <c r="O103" s="135"/>
      <c r="P103" s="141"/>
      <c r="Q103" s="135"/>
      <c r="R103" s="135"/>
      <c r="S103" s="135"/>
      <c r="T103" s="135"/>
      <c r="U103" s="135"/>
      <c r="V103" s="135"/>
      <c r="W103" s="135"/>
      <c r="X103" s="135"/>
      <c r="Y103" s="135"/>
      <c r="Z103" s="135"/>
    </row>
    <row r="104" hidden="1" spans="1:26">
      <c r="A104" s="133" t="s">
        <v>1297</v>
      </c>
      <c r="B104" s="135"/>
      <c r="C104" s="135"/>
      <c r="D104" s="135"/>
      <c r="E104" s="135"/>
      <c r="F104" s="135"/>
      <c r="G104" s="135"/>
      <c r="H104" s="135"/>
      <c r="I104" s="135"/>
      <c r="J104" s="135"/>
      <c r="K104" s="135"/>
      <c r="L104" s="135"/>
      <c r="M104" s="135"/>
      <c r="N104" s="135"/>
      <c r="O104" s="135"/>
      <c r="P104" s="141"/>
      <c r="Q104" s="135"/>
      <c r="R104" s="135"/>
      <c r="S104" s="135"/>
      <c r="T104" s="135"/>
      <c r="U104" s="135"/>
      <c r="V104" s="135"/>
      <c r="W104" s="135"/>
      <c r="X104" s="135"/>
      <c r="Y104" s="135"/>
      <c r="Z104" s="135"/>
    </row>
    <row r="105" hidden="1" spans="1:26">
      <c r="A105" s="133" t="s">
        <v>1298</v>
      </c>
      <c r="B105" s="135"/>
      <c r="C105" s="135"/>
      <c r="D105" s="135"/>
      <c r="E105" s="135"/>
      <c r="F105" s="135"/>
      <c r="G105" s="135"/>
      <c r="H105" s="135"/>
      <c r="I105" s="135"/>
      <c r="J105" s="135"/>
      <c r="K105" s="135"/>
      <c r="L105" s="135"/>
      <c r="M105" s="135"/>
      <c r="N105" s="135"/>
      <c r="O105" s="135"/>
      <c r="P105" s="141"/>
      <c r="Q105" s="135"/>
      <c r="R105" s="135"/>
      <c r="S105" s="135"/>
      <c r="T105" s="135"/>
      <c r="U105" s="135"/>
      <c r="V105" s="135"/>
      <c r="W105" s="135"/>
      <c r="X105" s="135"/>
      <c r="Y105" s="135"/>
      <c r="Z105" s="135"/>
    </row>
    <row r="106" hidden="1" spans="1:26">
      <c r="A106" s="133" t="s">
        <v>1299</v>
      </c>
      <c r="B106" s="135"/>
      <c r="C106" s="135"/>
      <c r="D106" s="135"/>
      <c r="E106" s="135"/>
      <c r="F106" s="135"/>
      <c r="G106" s="135"/>
      <c r="H106" s="135"/>
      <c r="I106" s="135"/>
      <c r="J106" s="135"/>
      <c r="K106" s="135"/>
      <c r="L106" s="135"/>
      <c r="M106" s="135"/>
      <c r="N106" s="135"/>
      <c r="O106" s="135"/>
      <c r="P106" s="141"/>
      <c r="Q106" s="135"/>
      <c r="R106" s="135"/>
      <c r="S106" s="135"/>
      <c r="T106" s="135"/>
      <c r="U106" s="135"/>
      <c r="V106" s="135"/>
      <c r="W106" s="135"/>
      <c r="X106" s="135"/>
      <c r="Y106" s="135"/>
      <c r="Z106" s="135"/>
    </row>
    <row r="107" hidden="1" spans="1:26">
      <c r="A107" s="133" t="s">
        <v>1300</v>
      </c>
      <c r="B107" s="135"/>
      <c r="C107" s="135"/>
      <c r="D107" s="135"/>
      <c r="E107" s="135"/>
      <c r="F107" s="135"/>
      <c r="G107" s="135"/>
      <c r="H107" s="135"/>
      <c r="I107" s="135"/>
      <c r="J107" s="135"/>
      <c r="K107" s="135"/>
      <c r="L107" s="135"/>
      <c r="M107" s="135"/>
      <c r="N107" s="135"/>
      <c r="O107" s="135"/>
      <c r="P107" s="141"/>
      <c r="Q107" s="135"/>
      <c r="R107" s="135"/>
      <c r="S107" s="135"/>
      <c r="T107" s="135"/>
      <c r="U107" s="135"/>
      <c r="V107" s="135"/>
      <c r="W107" s="135"/>
      <c r="X107" s="135"/>
      <c r="Y107" s="135"/>
      <c r="Z107" s="135"/>
    </row>
    <row r="108" hidden="1" spans="1:26">
      <c r="A108" s="133" t="s">
        <v>1301</v>
      </c>
      <c r="B108" s="135"/>
      <c r="C108" s="135"/>
      <c r="D108" s="135"/>
      <c r="E108" s="135"/>
      <c r="F108" s="135"/>
      <c r="G108" s="135"/>
      <c r="H108" s="135"/>
      <c r="I108" s="135"/>
      <c r="J108" s="135"/>
      <c r="K108" s="135"/>
      <c r="L108" s="135"/>
      <c r="M108" s="135"/>
      <c r="N108" s="135"/>
      <c r="O108" s="135"/>
      <c r="P108" s="141"/>
      <c r="Q108" s="135"/>
      <c r="R108" s="135"/>
      <c r="S108" s="135"/>
      <c r="T108" s="135"/>
      <c r="U108" s="135"/>
      <c r="V108" s="135"/>
      <c r="W108" s="135"/>
      <c r="X108" s="135"/>
      <c r="Y108" s="135"/>
      <c r="Z108" s="135"/>
    </row>
    <row r="109" hidden="1" spans="1:26">
      <c r="A109" s="133" t="s">
        <v>1302</v>
      </c>
      <c r="B109" s="135"/>
      <c r="C109" s="135"/>
      <c r="D109" s="135"/>
      <c r="E109" s="135"/>
      <c r="F109" s="135"/>
      <c r="G109" s="135"/>
      <c r="H109" s="135"/>
      <c r="I109" s="135"/>
      <c r="J109" s="135"/>
      <c r="K109" s="135"/>
      <c r="L109" s="135"/>
      <c r="M109" s="135"/>
      <c r="N109" s="135"/>
      <c r="O109" s="135"/>
      <c r="P109" s="141"/>
      <c r="Q109" s="135"/>
      <c r="R109" s="135"/>
      <c r="S109" s="135"/>
      <c r="T109" s="135"/>
      <c r="U109" s="135"/>
      <c r="V109" s="135"/>
      <c r="W109" s="135"/>
      <c r="X109" s="135"/>
      <c r="Y109" s="135"/>
      <c r="Z109" s="135"/>
    </row>
    <row r="110" hidden="1" spans="1:26">
      <c r="A110" s="133" t="s">
        <v>1303</v>
      </c>
      <c r="B110" s="135"/>
      <c r="C110" s="135"/>
      <c r="D110" s="135"/>
      <c r="E110" s="135"/>
      <c r="F110" s="135"/>
      <c r="G110" s="135"/>
      <c r="H110" s="135"/>
      <c r="I110" s="135"/>
      <c r="J110" s="135"/>
      <c r="K110" s="135"/>
      <c r="L110" s="135"/>
      <c r="M110" s="135"/>
      <c r="N110" s="135"/>
      <c r="O110" s="135"/>
      <c r="P110" s="141"/>
      <c r="Q110" s="135"/>
      <c r="R110" s="135"/>
      <c r="S110" s="135"/>
      <c r="T110" s="135"/>
      <c r="U110" s="135"/>
      <c r="V110" s="135"/>
      <c r="W110" s="135"/>
      <c r="X110" s="135"/>
      <c r="Y110" s="135"/>
      <c r="Z110" s="135"/>
    </row>
    <row r="111" hidden="1" spans="1:26">
      <c r="A111" s="133" t="s">
        <v>1304</v>
      </c>
      <c r="B111" s="135"/>
      <c r="C111" s="135"/>
      <c r="D111" s="135"/>
      <c r="E111" s="135"/>
      <c r="F111" s="135"/>
      <c r="G111" s="135"/>
      <c r="H111" s="135"/>
      <c r="I111" s="135"/>
      <c r="J111" s="135"/>
      <c r="K111" s="135"/>
      <c r="L111" s="135"/>
      <c r="M111" s="135"/>
      <c r="N111" s="135"/>
      <c r="O111" s="135"/>
      <c r="P111" s="141"/>
      <c r="Q111" s="135"/>
      <c r="R111" s="135"/>
      <c r="S111" s="135"/>
      <c r="T111" s="135"/>
      <c r="U111" s="135"/>
      <c r="V111" s="135"/>
      <c r="W111" s="135"/>
      <c r="X111" s="135"/>
      <c r="Y111" s="135"/>
      <c r="Z111" s="135"/>
    </row>
    <row r="112" hidden="1" spans="1:26">
      <c r="A112" s="133" t="s">
        <v>1305</v>
      </c>
      <c r="B112" s="135"/>
      <c r="C112" s="135"/>
      <c r="D112" s="135"/>
      <c r="E112" s="135"/>
      <c r="F112" s="135"/>
      <c r="G112" s="135"/>
      <c r="H112" s="135"/>
      <c r="I112" s="135"/>
      <c r="J112" s="135"/>
      <c r="K112" s="135"/>
      <c r="L112" s="135"/>
      <c r="M112" s="135"/>
      <c r="N112" s="135"/>
      <c r="O112" s="135"/>
      <c r="P112" s="141"/>
      <c r="Q112" s="135"/>
      <c r="R112" s="135"/>
      <c r="S112" s="135"/>
      <c r="T112" s="135"/>
      <c r="U112" s="135"/>
      <c r="V112" s="135"/>
      <c r="W112" s="135"/>
      <c r="X112" s="135"/>
      <c r="Y112" s="135"/>
      <c r="Z112" s="135"/>
    </row>
    <row r="113" hidden="1" spans="1:26">
      <c r="A113" s="133" t="s">
        <v>1306</v>
      </c>
      <c r="B113" s="135"/>
      <c r="C113" s="135"/>
      <c r="D113" s="135"/>
      <c r="E113" s="135"/>
      <c r="F113" s="135"/>
      <c r="G113" s="135"/>
      <c r="H113" s="135"/>
      <c r="I113" s="135"/>
      <c r="J113" s="135"/>
      <c r="K113" s="135"/>
      <c r="L113" s="135"/>
      <c r="M113" s="135"/>
      <c r="N113" s="135"/>
      <c r="O113" s="135"/>
      <c r="P113" s="141"/>
      <c r="Q113" s="135"/>
      <c r="R113" s="135"/>
      <c r="S113" s="135"/>
      <c r="T113" s="135"/>
      <c r="U113" s="135"/>
      <c r="V113" s="135"/>
      <c r="W113" s="135"/>
      <c r="X113" s="135"/>
      <c r="Y113" s="135"/>
      <c r="Z113" s="135"/>
    </row>
    <row r="114" hidden="1" spans="1:26">
      <c r="A114" s="133" t="s">
        <v>1307</v>
      </c>
      <c r="B114" s="135"/>
      <c r="C114" s="135"/>
      <c r="D114" s="135"/>
      <c r="E114" s="135"/>
      <c r="F114" s="135"/>
      <c r="G114" s="135"/>
      <c r="H114" s="135"/>
      <c r="I114" s="135"/>
      <c r="J114" s="135"/>
      <c r="K114" s="135"/>
      <c r="L114" s="135"/>
      <c r="M114" s="135"/>
      <c r="N114" s="135"/>
      <c r="O114" s="135"/>
      <c r="P114" s="141"/>
      <c r="Q114" s="135"/>
      <c r="R114" s="135"/>
      <c r="S114" s="135"/>
      <c r="T114" s="135"/>
      <c r="U114" s="135"/>
      <c r="V114" s="135"/>
      <c r="W114" s="135"/>
      <c r="X114" s="135"/>
      <c r="Y114" s="135"/>
      <c r="Z114" s="135"/>
    </row>
    <row r="115" hidden="1" spans="1:26">
      <c r="A115" s="133" t="s">
        <v>1308</v>
      </c>
      <c r="B115" s="135"/>
      <c r="C115" s="135"/>
      <c r="D115" s="135"/>
      <c r="E115" s="135"/>
      <c r="F115" s="135"/>
      <c r="G115" s="135"/>
      <c r="H115" s="135"/>
      <c r="I115" s="135"/>
      <c r="J115" s="135"/>
      <c r="K115" s="135"/>
      <c r="L115" s="135"/>
      <c r="M115" s="135"/>
      <c r="N115" s="135"/>
      <c r="O115" s="135"/>
      <c r="P115" s="141"/>
      <c r="Q115" s="135"/>
      <c r="R115" s="135"/>
      <c r="S115" s="135"/>
      <c r="T115" s="135"/>
      <c r="U115" s="135"/>
      <c r="V115" s="135"/>
      <c r="W115" s="135"/>
      <c r="X115" s="135"/>
      <c r="Y115" s="135"/>
      <c r="Z115" s="135"/>
    </row>
    <row r="116" hidden="1" spans="1:26">
      <c r="A116" s="133" t="s">
        <v>1309</v>
      </c>
      <c r="B116" s="135"/>
      <c r="C116" s="135"/>
      <c r="D116" s="135"/>
      <c r="E116" s="135"/>
      <c r="F116" s="135"/>
      <c r="G116" s="135"/>
      <c r="H116" s="135"/>
      <c r="I116" s="135"/>
      <c r="J116" s="135"/>
      <c r="K116" s="135"/>
      <c r="L116" s="135"/>
      <c r="M116" s="135"/>
      <c r="N116" s="135"/>
      <c r="O116" s="135"/>
      <c r="P116" s="141"/>
      <c r="Q116" s="135"/>
      <c r="R116" s="135"/>
      <c r="S116" s="135"/>
      <c r="T116" s="135"/>
      <c r="U116" s="135"/>
      <c r="V116" s="135"/>
      <c r="W116" s="135"/>
      <c r="X116" s="135"/>
      <c r="Y116" s="135"/>
      <c r="Z116" s="135"/>
    </row>
    <row r="117" hidden="1" spans="1:26">
      <c r="A117" s="133" t="s">
        <v>1310</v>
      </c>
      <c r="B117" s="135"/>
      <c r="C117" s="135"/>
      <c r="D117" s="135"/>
      <c r="E117" s="135"/>
      <c r="F117" s="135"/>
      <c r="G117" s="135"/>
      <c r="H117" s="135"/>
      <c r="I117" s="135"/>
      <c r="J117" s="135"/>
      <c r="K117" s="135"/>
      <c r="L117" s="135"/>
      <c r="M117" s="135"/>
      <c r="N117" s="135"/>
      <c r="O117" s="135"/>
      <c r="P117" s="141"/>
      <c r="Q117" s="135"/>
      <c r="R117" s="135"/>
      <c r="S117" s="135"/>
      <c r="T117" s="135"/>
      <c r="U117" s="135"/>
      <c r="V117" s="135"/>
      <c r="W117" s="135"/>
      <c r="X117" s="135"/>
      <c r="Y117" s="135"/>
      <c r="Z117" s="135"/>
    </row>
    <row r="118" hidden="1" spans="1:26">
      <c r="A118" s="133" t="s">
        <v>1311</v>
      </c>
      <c r="B118" s="135"/>
      <c r="C118" s="135"/>
      <c r="D118" s="135"/>
      <c r="E118" s="135"/>
      <c r="F118" s="135"/>
      <c r="G118" s="135"/>
      <c r="H118" s="135"/>
      <c r="I118" s="135"/>
      <c r="J118" s="135"/>
      <c r="K118" s="135"/>
      <c r="L118" s="135"/>
      <c r="M118" s="135"/>
      <c r="N118" s="135"/>
      <c r="O118" s="135"/>
      <c r="P118" s="141"/>
      <c r="Q118" s="135"/>
      <c r="R118" s="135"/>
      <c r="S118" s="135"/>
      <c r="T118" s="135"/>
      <c r="U118" s="135"/>
      <c r="V118" s="135"/>
      <c r="W118" s="135"/>
      <c r="X118" s="135"/>
      <c r="Y118" s="135"/>
      <c r="Z118" s="135"/>
    </row>
    <row r="119" hidden="1" spans="1:26">
      <c r="A119" s="133" t="s">
        <v>1312</v>
      </c>
      <c r="B119" s="135"/>
      <c r="C119" s="135"/>
      <c r="D119" s="135"/>
      <c r="E119" s="135"/>
      <c r="F119" s="135"/>
      <c r="G119" s="135"/>
      <c r="H119" s="135"/>
      <c r="I119" s="135"/>
      <c r="J119" s="135"/>
      <c r="K119" s="135"/>
      <c r="L119" s="135"/>
      <c r="M119" s="135"/>
      <c r="N119" s="135"/>
      <c r="O119" s="135"/>
      <c r="P119" s="141"/>
      <c r="Q119" s="135"/>
      <c r="R119" s="135"/>
      <c r="S119" s="135"/>
      <c r="T119" s="135"/>
      <c r="U119" s="135"/>
      <c r="V119" s="135"/>
      <c r="W119" s="135"/>
      <c r="X119" s="135"/>
      <c r="Y119" s="135"/>
      <c r="Z119" s="135"/>
    </row>
    <row r="120" hidden="1" spans="1:26">
      <c r="A120" s="133" t="s">
        <v>1313</v>
      </c>
      <c r="B120" s="135"/>
      <c r="C120" s="135"/>
      <c r="D120" s="135"/>
      <c r="E120" s="135"/>
      <c r="F120" s="135"/>
      <c r="G120" s="135"/>
      <c r="H120" s="135"/>
      <c r="I120" s="135"/>
      <c r="J120" s="135"/>
      <c r="K120" s="135"/>
      <c r="L120" s="135"/>
      <c r="M120" s="135"/>
      <c r="N120" s="135"/>
      <c r="O120" s="135"/>
      <c r="P120" s="141"/>
      <c r="Q120" s="135"/>
      <c r="R120" s="135"/>
      <c r="S120" s="135"/>
      <c r="T120" s="135"/>
      <c r="U120" s="135"/>
      <c r="V120" s="135"/>
      <c r="W120" s="135"/>
      <c r="X120" s="135"/>
      <c r="Y120" s="135"/>
      <c r="Z120" s="135"/>
    </row>
    <row r="121" hidden="1" spans="1:26">
      <c r="A121" s="133" t="s">
        <v>1314</v>
      </c>
      <c r="B121" s="135"/>
      <c r="C121" s="135"/>
      <c r="D121" s="135"/>
      <c r="E121" s="135"/>
      <c r="F121" s="135"/>
      <c r="G121" s="135"/>
      <c r="H121" s="135"/>
      <c r="I121" s="135"/>
      <c r="J121" s="135"/>
      <c r="K121" s="135"/>
      <c r="L121" s="135"/>
      <c r="M121" s="135"/>
      <c r="N121" s="135"/>
      <c r="O121" s="135"/>
      <c r="P121" s="141"/>
      <c r="Q121" s="135"/>
      <c r="R121" s="135"/>
      <c r="S121" s="135"/>
      <c r="T121" s="135"/>
      <c r="U121" s="135"/>
      <c r="V121" s="135"/>
      <c r="W121" s="135"/>
      <c r="X121" s="135"/>
      <c r="Y121" s="135"/>
      <c r="Z121" s="135"/>
    </row>
    <row r="122" hidden="1" spans="1:26">
      <c r="A122" s="133" t="s">
        <v>1315</v>
      </c>
      <c r="B122" s="135"/>
      <c r="C122" s="135"/>
      <c r="D122" s="135"/>
      <c r="E122" s="135"/>
      <c r="F122" s="135"/>
      <c r="G122" s="135"/>
      <c r="H122" s="135"/>
      <c r="I122" s="135"/>
      <c r="J122" s="135"/>
      <c r="K122" s="135"/>
      <c r="L122" s="135"/>
      <c r="M122" s="135"/>
      <c r="N122" s="135"/>
      <c r="O122" s="135"/>
      <c r="P122" s="141"/>
      <c r="Q122" s="135"/>
      <c r="R122" s="135"/>
      <c r="S122" s="135"/>
      <c r="T122" s="135"/>
      <c r="U122" s="135"/>
      <c r="V122" s="135"/>
      <c r="W122" s="135"/>
      <c r="X122" s="135"/>
      <c r="Y122" s="135"/>
      <c r="Z122" s="135"/>
    </row>
    <row r="123" hidden="1" spans="1:26">
      <c r="A123" s="133" t="s">
        <v>1316</v>
      </c>
      <c r="B123" s="135"/>
      <c r="C123" s="135"/>
      <c r="D123" s="135"/>
      <c r="E123" s="135"/>
      <c r="F123" s="135"/>
      <c r="G123" s="135"/>
      <c r="H123" s="135"/>
      <c r="I123" s="135"/>
      <c r="J123" s="135"/>
      <c r="K123" s="135"/>
      <c r="L123" s="135"/>
      <c r="M123" s="135"/>
      <c r="N123" s="135"/>
      <c r="O123" s="135"/>
      <c r="P123" s="141"/>
      <c r="Q123" s="135"/>
      <c r="R123" s="135"/>
      <c r="S123" s="135"/>
      <c r="T123" s="135"/>
      <c r="U123" s="135"/>
      <c r="V123" s="135"/>
      <c r="W123" s="135"/>
      <c r="X123" s="135"/>
      <c r="Y123" s="135"/>
      <c r="Z123" s="135"/>
    </row>
    <row r="124" hidden="1" spans="1:26">
      <c r="A124" s="133" t="s">
        <v>1317</v>
      </c>
      <c r="B124" s="135"/>
      <c r="C124" s="135"/>
      <c r="D124" s="135"/>
      <c r="E124" s="135"/>
      <c r="F124" s="135"/>
      <c r="G124" s="135"/>
      <c r="H124" s="135"/>
      <c r="I124" s="135"/>
      <c r="J124" s="135"/>
      <c r="K124" s="135"/>
      <c r="L124" s="135"/>
      <c r="M124" s="135"/>
      <c r="N124" s="135"/>
      <c r="O124" s="135"/>
      <c r="P124" s="141"/>
      <c r="Q124" s="135"/>
      <c r="R124" s="135"/>
      <c r="S124" s="135"/>
      <c r="T124" s="135"/>
      <c r="U124" s="135"/>
      <c r="V124" s="135"/>
      <c r="W124" s="135"/>
      <c r="X124" s="135"/>
      <c r="Y124" s="135"/>
      <c r="Z124" s="135"/>
    </row>
    <row r="125" hidden="1" spans="1:26">
      <c r="A125" s="133" t="s">
        <v>1318</v>
      </c>
      <c r="B125" s="135"/>
      <c r="C125" s="135"/>
      <c r="D125" s="135"/>
      <c r="E125" s="135"/>
      <c r="F125" s="135"/>
      <c r="G125" s="135"/>
      <c r="H125" s="135"/>
      <c r="I125" s="135"/>
      <c r="J125" s="135"/>
      <c r="K125" s="135"/>
      <c r="L125" s="135"/>
      <c r="M125" s="135"/>
      <c r="N125" s="135"/>
      <c r="O125" s="135"/>
      <c r="P125" s="141"/>
      <c r="Q125" s="135"/>
      <c r="R125" s="135"/>
      <c r="S125" s="135"/>
      <c r="T125" s="135"/>
      <c r="U125" s="135"/>
      <c r="V125" s="135"/>
      <c r="W125" s="135"/>
      <c r="X125" s="135"/>
      <c r="Y125" s="135"/>
      <c r="Z125" s="135"/>
    </row>
    <row r="126" hidden="1" spans="1:26">
      <c r="A126" s="133" t="s">
        <v>1319</v>
      </c>
      <c r="B126" s="135"/>
      <c r="C126" s="135"/>
      <c r="D126" s="135"/>
      <c r="E126" s="135"/>
      <c r="F126" s="135"/>
      <c r="G126" s="135"/>
      <c r="H126" s="135"/>
      <c r="I126" s="135"/>
      <c r="J126" s="135"/>
      <c r="K126" s="135"/>
      <c r="L126" s="135"/>
      <c r="M126" s="135"/>
      <c r="N126" s="135"/>
      <c r="O126" s="135"/>
      <c r="P126" s="141"/>
      <c r="Q126" s="135"/>
      <c r="R126" s="135"/>
      <c r="S126" s="135"/>
      <c r="T126" s="135"/>
      <c r="U126" s="135"/>
      <c r="V126" s="135"/>
      <c r="W126" s="135"/>
      <c r="X126" s="135"/>
      <c r="Y126" s="135"/>
      <c r="Z126" s="135"/>
    </row>
    <row r="127" hidden="1" spans="1:26">
      <c r="A127" s="133" t="s">
        <v>1320</v>
      </c>
      <c r="B127" s="135"/>
      <c r="C127" s="135"/>
      <c r="D127" s="135"/>
      <c r="E127" s="135"/>
      <c r="F127" s="135"/>
      <c r="G127" s="135"/>
      <c r="H127" s="135"/>
      <c r="I127" s="135"/>
      <c r="J127" s="135"/>
      <c r="K127" s="135"/>
      <c r="L127" s="135"/>
      <c r="M127" s="135"/>
      <c r="N127" s="135"/>
      <c r="O127" s="135"/>
      <c r="P127" s="141"/>
      <c r="Q127" s="135"/>
      <c r="R127" s="135"/>
      <c r="S127" s="135"/>
      <c r="T127" s="135"/>
      <c r="U127" s="135"/>
      <c r="V127" s="135"/>
      <c r="W127" s="135"/>
      <c r="X127" s="135"/>
      <c r="Y127" s="135"/>
      <c r="Z127" s="135"/>
    </row>
    <row r="128" hidden="1" spans="1:26">
      <c r="A128" s="133" t="s">
        <v>1321</v>
      </c>
      <c r="B128" s="135"/>
      <c r="C128" s="135"/>
      <c r="D128" s="135"/>
      <c r="E128" s="135"/>
      <c r="F128" s="135"/>
      <c r="G128" s="135"/>
      <c r="H128" s="135"/>
      <c r="I128" s="135"/>
      <c r="J128" s="135"/>
      <c r="K128" s="135"/>
      <c r="L128" s="135"/>
      <c r="M128" s="135"/>
      <c r="N128" s="135"/>
      <c r="O128" s="135"/>
      <c r="P128" s="141"/>
      <c r="Q128" s="135"/>
      <c r="R128" s="135"/>
      <c r="S128" s="135"/>
      <c r="T128" s="135"/>
      <c r="U128" s="135"/>
      <c r="V128" s="135"/>
      <c r="W128" s="135"/>
      <c r="X128" s="135"/>
      <c r="Y128" s="135"/>
      <c r="Z128" s="135"/>
    </row>
    <row r="129" hidden="1" spans="1:26">
      <c r="A129" s="133" t="s">
        <v>1322</v>
      </c>
      <c r="B129" s="135"/>
      <c r="C129" s="135"/>
      <c r="D129" s="135"/>
      <c r="E129" s="135"/>
      <c r="F129" s="135"/>
      <c r="G129" s="135"/>
      <c r="H129" s="135"/>
      <c r="I129" s="135"/>
      <c r="J129" s="135"/>
      <c r="K129" s="135"/>
      <c r="L129" s="135"/>
      <c r="M129" s="135"/>
      <c r="N129" s="135"/>
      <c r="O129" s="135"/>
      <c r="P129" s="141"/>
      <c r="Q129" s="135"/>
      <c r="R129" s="135"/>
      <c r="S129" s="135"/>
      <c r="T129" s="135"/>
      <c r="U129" s="135"/>
      <c r="V129" s="135"/>
      <c r="W129" s="135"/>
      <c r="X129" s="135"/>
      <c r="Y129" s="135"/>
      <c r="Z129" s="135"/>
    </row>
    <row r="130" hidden="1" spans="1:26">
      <c r="A130" s="133" t="s">
        <v>1323</v>
      </c>
      <c r="B130" s="135"/>
      <c r="C130" s="135"/>
      <c r="D130" s="135"/>
      <c r="E130" s="135"/>
      <c r="F130" s="135"/>
      <c r="G130" s="135"/>
      <c r="H130" s="135"/>
      <c r="I130" s="135"/>
      <c r="J130" s="135"/>
      <c r="K130" s="135"/>
      <c r="L130" s="135"/>
      <c r="M130" s="135"/>
      <c r="N130" s="135"/>
      <c r="O130" s="135"/>
      <c r="P130" s="141"/>
      <c r="Q130" s="135"/>
      <c r="R130" s="135"/>
      <c r="S130" s="135"/>
      <c r="T130" s="135"/>
      <c r="U130" s="135"/>
      <c r="V130" s="135"/>
      <c r="W130" s="135"/>
      <c r="X130" s="135"/>
      <c r="Y130" s="135"/>
      <c r="Z130" s="135"/>
    </row>
    <row r="131" hidden="1" spans="1:26">
      <c r="A131" s="133" t="s">
        <v>1324</v>
      </c>
      <c r="B131" s="135"/>
      <c r="C131" s="135"/>
      <c r="D131" s="135"/>
      <c r="E131" s="135"/>
      <c r="F131" s="135"/>
      <c r="G131" s="135"/>
      <c r="H131" s="135"/>
      <c r="I131" s="135"/>
      <c r="J131" s="135"/>
      <c r="K131" s="135"/>
      <c r="L131" s="135"/>
      <c r="M131" s="135"/>
      <c r="N131" s="135"/>
      <c r="O131" s="135"/>
      <c r="P131" s="141"/>
      <c r="Q131" s="135"/>
      <c r="R131" s="135"/>
      <c r="S131" s="135"/>
      <c r="T131" s="135"/>
      <c r="U131" s="135"/>
      <c r="V131" s="135"/>
      <c r="W131" s="135"/>
      <c r="X131" s="135"/>
      <c r="Y131" s="135"/>
      <c r="Z131" s="135"/>
    </row>
    <row r="132" hidden="1" spans="1:26">
      <c r="A132" s="133" t="s">
        <v>1325</v>
      </c>
      <c r="B132" s="135"/>
      <c r="C132" s="135"/>
      <c r="D132" s="135"/>
      <c r="E132" s="135"/>
      <c r="F132" s="135"/>
      <c r="G132" s="135"/>
      <c r="H132" s="135"/>
      <c r="I132" s="135"/>
      <c r="J132" s="135"/>
      <c r="K132" s="135"/>
      <c r="L132" s="135"/>
      <c r="M132" s="135"/>
      <c r="N132" s="135"/>
      <c r="O132" s="135"/>
      <c r="P132" s="141"/>
      <c r="Q132" s="135"/>
      <c r="R132" s="135"/>
      <c r="S132" s="135"/>
      <c r="T132" s="135"/>
      <c r="U132" s="135"/>
      <c r="V132" s="135"/>
      <c r="W132" s="135"/>
      <c r="X132" s="135"/>
      <c r="Y132" s="135"/>
      <c r="Z132" s="135"/>
    </row>
    <row r="133" hidden="1" spans="1:26">
      <c r="A133" s="133" t="s">
        <v>1326</v>
      </c>
      <c r="B133" s="135"/>
      <c r="C133" s="135"/>
      <c r="D133" s="135"/>
      <c r="E133" s="135"/>
      <c r="F133" s="135"/>
      <c r="G133" s="135"/>
      <c r="H133" s="135"/>
      <c r="I133" s="135"/>
      <c r="J133" s="135"/>
      <c r="K133" s="135"/>
      <c r="L133" s="135"/>
      <c r="M133" s="135"/>
      <c r="N133" s="135"/>
      <c r="O133" s="135"/>
      <c r="P133" s="141"/>
      <c r="Q133" s="135"/>
      <c r="R133" s="135"/>
      <c r="S133" s="135"/>
      <c r="T133" s="135"/>
      <c r="U133" s="135"/>
      <c r="V133" s="135"/>
      <c r="W133" s="135"/>
      <c r="X133" s="135"/>
      <c r="Y133" s="135"/>
      <c r="Z133" s="135"/>
    </row>
    <row r="134" hidden="1" spans="1:26">
      <c r="A134" s="133" t="s">
        <v>1327</v>
      </c>
      <c r="B134" s="135"/>
      <c r="C134" s="135"/>
      <c r="D134" s="135"/>
      <c r="E134" s="135"/>
      <c r="F134" s="135"/>
      <c r="G134" s="135"/>
      <c r="H134" s="135"/>
      <c r="I134" s="135"/>
      <c r="J134" s="135"/>
      <c r="K134" s="135"/>
      <c r="L134" s="135"/>
      <c r="M134" s="135"/>
      <c r="N134" s="135"/>
      <c r="O134" s="135"/>
      <c r="P134" s="141"/>
      <c r="Q134" s="135"/>
      <c r="R134" s="135"/>
      <c r="S134" s="135"/>
      <c r="T134" s="135"/>
      <c r="U134" s="135"/>
      <c r="V134" s="135"/>
      <c r="W134" s="135"/>
      <c r="X134" s="135"/>
      <c r="Y134" s="135"/>
      <c r="Z134" s="135"/>
    </row>
    <row r="135" hidden="1" spans="1:26">
      <c r="A135" s="133" t="s">
        <v>1328</v>
      </c>
      <c r="B135" s="135"/>
      <c r="C135" s="135"/>
      <c r="D135" s="135"/>
      <c r="E135" s="135"/>
      <c r="F135" s="135"/>
      <c r="G135" s="135"/>
      <c r="H135" s="135"/>
      <c r="I135" s="135"/>
      <c r="J135" s="135"/>
      <c r="K135" s="135"/>
      <c r="L135" s="135"/>
      <c r="M135" s="135"/>
      <c r="N135" s="135"/>
      <c r="O135" s="135"/>
      <c r="P135" s="141"/>
      <c r="Q135" s="135"/>
      <c r="R135" s="135"/>
      <c r="S135" s="135"/>
      <c r="T135" s="135"/>
      <c r="U135" s="135"/>
      <c r="V135" s="135"/>
      <c r="W135" s="135"/>
      <c r="X135" s="135"/>
      <c r="Y135" s="135"/>
      <c r="Z135" s="135"/>
    </row>
    <row r="136" hidden="1" spans="1:26">
      <c r="A136" s="133" t="s">
        <v>1329</v>
      </c>
      <c r="B136" s="135"/>
      <c r="C136" s="135"/>
      <c r="D136" s="135"/>
      <c r="E136" s="135"/>
      <c r="F136" s="135"/>
      <c r="G136" s="135"/>
      <c r="H136" s="135"/>
      <c r="I136" s="135"/>
      <c r="J136" s="135"/>
      <c r="K136" s="135"/>
      <c r="L136" s="135"/>
      <c r="M136" s="135"/>
      <c r="N136" s="135"/>
      <c r="O136" s="135"/>
      <c r="P136" s="141"/>
      <c r="Q136" s="135"/>
      <c r="R136" s="135"/>
      <c r="S136" s="135"/>
      <c r="T136" s="135"/>
      <c r="U136" s="135"/>
      <c r="V136" s="135"/>
      <c r="W136" s="135"/>
      <c r="X136" s="135"/>
      <c r="Y136" s="135"/>
      <c r="Z136" s="135"/>
    </row>
    <row r="137" hidden="1" spans="1:26">
      <c r="A137" s="133" t="s">
        <v>1330</v>
      </c>
      <c r="B137" s="135"/>
      <c r="C137" s="135"/>
      <c r="D137" s="135"/>
      <c r="E137" s="135"/>
      <c r="F137" s="135"/>
      <c r="G137" s="135"/>
      <c r="H137" s="135"/>
      <c r="I137" s="135"/>
      <c r="J137" s="135"/>
      <c r="K137" s="135"/>
      <c r="L137" s="135"/>
      <c r="M137" s="135"/>
      <c r="N137" s="135"/>
      <c r="O137" s="135"/>
      <c r="P137" s="141"/>
      <c r="Q137" s="135"/>
      <c r="R137" s="135"/>
      <c r="S137" s="135"/>
      <c r="T137" s="135"/>
      <c r="U137" s="135"/>
      <c r="V137" s="135"/>
      <c r="W137" s="135"/>
      <c r="X137" s="135"/>
      <c r="Y137" s="135"/>
      <c r="Z137" s="135"/>
    </row>
    <row r="138" hidden="1" spans="1:26">
      <c r="A138" s="133" t="s">
        <v>1331</v>
      </c>
      <c r="B138" s="135"/>
      <c r="C138" s="135"/>
      <c r="D138" s="135"/>
      <c r="E138" s="135"/>
      <c r="F138" s="135"/>
      <c r="G138" s="135"/>
      <c r="H138" s="135"/>
      <c r="I138" s="135"/>
      <c r="J138" s="135"/>
      <c r="K138" s="135"/>
      <c r="L138" s="135"/>
      <c r="M138" s="135"/>
      <c r="N138" s="135"/>
      <c r="O138" s="135"/>
      <c r="P138" s="141"/>
      <c r="Q138" s="135"/>
      <c r="R138" s="135"/>
      <c r="S138" s="135"/>
      <c r="T138" s="135"/>
      <c r="U138" s="135"/>
      <c r="V138" s="135"/>
      <c r="W138" s="135"/>
      <c r="X138" s="135"/>
      <c r="Y138" s="135"/>
      <c r="Z138" s="135"/>
    </row>
    <row r="139" hidden="1" spans="1:26">
      <c r="A139" s="133" t="s">
        <v>1332</v>
      </c>
      <c r="B139" s="135"/>
      <c r="C139" s="135"/>
      <c r="D139" s="135"/>
      <c r="E139" s="135"/>
      <c r="F139" s="135"/>
      <c r="G139" s="135"/>
      <c r="H139" s="135"/>
      <c r="I139" s="135"/>
      <c r="J139" s="135"/>
      <c r="K139" s="135"/>
      <c r="L139" s="135"/>
      <c r="M139" s="135"/>
      <c r="N139" s="135"/>
      <c r="O139" s="135"/>
      <c r="P139" s="141"/>
      <c r="Q139" s="135"/>
      <c r="R139" s="135"/>
      <c r="S139" s="135"/>
      <c r="T139" s="135"/>
      <c r="U139" s="135"/>
      <c r="V139" s="135"/>
      <c r="W139" s="135"/>
      <c r="X139" s="135"/>
      <c r="Y139" s="135"/>
      <c r="Z139" s="135"/>
    </row>
    <row r="140" hidden="1" spans="1:26">
      <c r="A140" s="133" t="s">
        <v>1333</v>
      </c>
      <c r="B140" s="135"/>
      <c r="C140" s="135"/>
      <c r="D140" s="135"/>
      <c r="E140" s="135"/>
      <c r="F140" s="135"/>
      <c r="G140" s="135"/>
      <c r="H140" s="135"/>
      <c r="I140" s="135"/>
      <c r="J140" s="135"/>
      <c r="K140" s="135"/>
      <c r="L140" s="135"/>
      <c r="M140" s="135"/>
      <c r="N140" s="135"/>
      <c r="O140" s="135"/>
      <c r="P140" s="141"/>
      <c r="Q140" s="135"/>
      <c r="R140" s="135"/>
      <c r="S140" s="135"/>
      <c r="T140" s="135"/>
      <c r="U140" s="135"/>
      <c r="V140" s="135"/>
      <c r="W140" s="135"/>
      <c r="X140" s="135"/>
      <c r="Y140" s="135"/>
      <c r="Z140" s="135"/>
    </row>
    <row r="141" hidden="1" spans="1:26">
      <c r="A141" s="133" t="s">
        <v>1334</v>
      </c>
      <c r="B141" s="135"/>
      <c r="C141" s="135"/>
      <c r="D141" s="135"/>
      <c r="E141" s="135"/>
      <c r="F141" s="135"/>
      <c r="G141" s="135"/>
      <c r="H141" s="135"/>
      <c r="I141" s="135"/>
      <c r="J141" s="135"/>
      <c r="K141" s="135"/>
      <c r="L141" s="135"/>
      <c r="M141" s="135"/>
      <c r="N141" s="135"/>
      <c r="O141" s="135"/>
      <c r="P141" s="141"/>
      <c r="Q141" s="135"/>
      <c r="R141" s="135"/>
      <c r="S141" s="135"/>
      <c r="T141" s="135"/>
      <c r="U141" s="135"/>
      <c r="V141" s="135"/>
      <c r="W141" s="135"/>
      <c r="X141" s="135"/>
      <c r="Y141" s="135"/>
      <c r="Z141" s="135"/>
    </row>
    <row r="142" hidden="1" spans="1:26">
      <c r="A142" s="133" t="s">
        <v>1335</v>
      </c>
      <c r="B142" s="135"/>
      <c r="C142" s="135"/>
      <c r="D142" s="135"/>
      <c r="E142" s="135"/>
      <c r="F142" s="135"/>
      <c r="G142" s="135"/>
      <c r="H142" s="135"/>
      <c r="I142" s="135"/>
      <c r="J142" s="135"/>
      <c r="K142" s="135"/>
      <c r="L142" s="135"/>
      <c r="M142" s="135"/>
      <c r="N142" s="135"/>
      <c r="O142" s="135"/>
      <c r="P142" s="141"/>
      <c r="Q142" s="135"/>
      <c r="R142" s="135"/>
      <c r="S142" s="135"/>
      <c r="T142" s="135"/>
      <c r="U142" s="135"/>
      <c r="V142" s="135"/>
      <c r="W142" s="135"/>
      <c r="X142" s="135"/>
      <c r="Y142" s="135"/>
      <c r="Z142" s="135"/>
    </row>
    <row r="143" hidden="1" spans="1:26">
      <c r="A143" s="133" t="s">
        <v>1336</v>
      </c>
      <c r="B143" s="135"/>
      <c r="C143" s="135"/>
      <c r="D143" s="135"/>
      <c r="E143" s="135"/>
      <c r="F143" s="135"/>
      <c r="G143" s="135"/>
      <c r="H143" s="135"/>
      <c r="I143" s="135"/>
      <c r="J143" s="135"/>
      <c r="K143" s="135"/>
      <c r="L143" s="135"/>
      <c r="M143" s="135"/>
      <c r="N143" s="135"/>
      <c r="O143" s="135"/>
      <c r="P143" s="141"/>
      <c r="Q143" s="135"/>
      <c r="R143" s="135"/>
      <c r="S143" s="135"/>
      <c r="T143" s="135"/>
      <c r="U143" s="135"/>
      <c r="V143" s="135"/>
      <c r="W143" s="135"/>
      <c r="X143" s="135"/>
      <c r="Y143" s="135"/>
      <c r="Z143" s="135"/>
    </row>
    <row r="144" hidden="1" spans="1:26">
      <c r="A144" s="133" t="s">
        <v>1337</v>
      </c>
      <c r="B144" s="135"/>
      <c r="C144" s="135"/>
      <c r="D144" s="135"/>
      <c r="E144" s="135"/>
      <c r="F144" s="135"/>
      <c r="G144" s="135"/>
      <c r="H144" s="135"/>
      <c r="I144" s="135"/>
      <c r="J144" s="135"/>
      <c r="K144" s="135"/>
      <c r="L144" s="135"/>
      <c r="M144" s="135"/>
      <c r="N144" s="135"/>
      <c r="O144" s="135"/>
      <c r="P144" s="141"/>
      <c r="Q144" s="135"/>
      <c r="R144" s="135"/>
      <c r="S144" s="135"/>
      <c r="T144" s="135"/>
      <c r="U144" s="135"/>
      <c r="V144" s="135"/>
      <c r="W144" s="135"/>
      <c r="X144" s="135"/>
      <c r="Y144" s="135"/>
      <c r="Z144" s="135"/>
    </row>
    <row r="145" hidden="1" spans="1:26">
      <c r="A145" s="133" t="s">
        <v>1338</v>
      </c>
      <c r="B145" s="135"/>
      <c r="C145" s="135"/>
      <c r="D145" s="135"/>
      <c r="E145" s="135"/>
      <c r="F145" s="135"/>
      <c r="G145" s="135"/>
      <c r="H145" s="135"/>
      <c r="I145" s="135"/>
      <c r="J145" s="135"/>
      <c r="K145" s="135"/>
      <c r="L145" s="135"/>
      <c r="M145" s="135"/>
      <c r="N145" s="135"/>
      <c r="O145" s="135"/>
      <c r="P145" s="141"/>
      <c r="Q145" s="135"/>
      <c r="R145" s="135"/>
      <c r="S145" s="135"/>
      <c r="T145" s="135"/>
      <c r="U145" s="135"/>
      <c r="V145" s="135"/>
      <c r="W145" s="135"/>
      <c r="X145" s="135"/>
      <c r="Y145" s="135"/>
      <c r="Z145" s="135"/>
    </row>
    <row r="146" hidden="1" spans="1:26">
      <c r="A146" s="133" t="s">
        <v>1339</v>
      </c>
      <c r="B146" s="135"/>
      <c r="C146" s="135"/>
      <c r="D146" s="135"/>
      <c r="E146" s="135"/>
      <c r="F146" s="135"/>
      <c r="G146" s="135"/>
      <c r="H146" s="135"/>
      <c r="I146" s="135"/>
      <c r="J146" s="135"/>
      <c r="K146" s="135"/>
      <c r="L146" s="135"/>
      <c r="M146" s="135"/>
      <c r="N146" s="135"/>
      <c r="O146" s="135"/>
      <c r="P146" s="141"/>
      <c r="Q146" s="135"/>
      <c r="R146" s="135"/>
      <c r="S146" s="135"/>
      <c r="T146" s="135"/>
      <c r="U146" s="135"/>
      <c r="V146" s="135"/>
      <c r="W146" s="135"/>
      <c r="X146" s="135"/>
      <c r="Y146" s="135"/>
      <c r="Z146" s="135"/>
    </row>
    <row r="147" hidden="1" spans="1:26">
      <c r="A147" s="133" t="s">
        <v>1340</v>
      </c>
      <c r="B147" s="135"/>
      <c r="C147" s="135"/>
      <c r="D147" s="135"/>
      <c r="E147" s="135"/>
      <c r="F147" s="135"/>
      <c r="G147" s="135"/>
      <c r="H147" s="135"/>
      <c r="I147" s="135"/>
      <c r="J147" s="135"/>
      <c r="K147" s="135"/>
      <c r="L147" s="135"/>
      <c r="M147" s="135"/>
      <c r="N147" s="135"/>
      <c r="O147" s="135"/>
      <c r="P147" s="141"/>
      <c r="Q147" s="135"/>
      <c r="R147" s="135"/>
      <c r="S147" s="135"/>
      <c r="T147" s="135"/>
      <c r="U147" s="135"/>
      <c r="V147" s="135"/>
      <c r="W147" s="135"/>
      <c r="X147" s="135"/>
      <c r="Y147" s="135"/>
      <c r="Z147" s="135"/>
    </row>
    <row r="148" hidden="1" spans="1:26">
      <c r="A148" s="133" t="s">
        <v>1341</v>
      </c>
      <c r="B148" s="135"/>
      <c r="C148" s="135"/>
      <c r="D148" s="135"/>
      <c r="E148" s="135"/>
      <c r="F148" s="135"/>
      <c r="G148" s="135"/>
      <c r="H148" s="135"/>
      <c r="I148" s="135"/>
      <c r="J148" s="135"/>
      <c r="K148" s="135"/>
      <c r="L148" s="135"/>
      <c r="M148" s="135"/>
      <c r="N148" s="135"/>
      <c r="O148" s="135"/>
      <c r="P148" s="141"/>
      <c r="Q148" s="135"/>
      <c r="R148" s="135"/>
      <c r="S148" s="135"/>
      <c r="T148" s="135"/>
      <c r="U148" s="135"/>
      <c r="V148" s="135"/>
      <c r="W148" s="135"/>
      <c r="X148" s="135"/>
      <c r="Y148" s="135"/>
      <c r="Z148" s="135"/>
    </row>
    <row r="149" hidden="1" spans="1:26">
      <c r="A149" s="133" t="s">
        <v>1342</v>
      </c>
      <c r="B149" s="135"/>
      <c r="C149" s="135"/>
      <c r="D149" s="135"/>
      <c r="E149" s="135"/>
      <c r="F149" s="135"/>
      <c r="G149" s="135"/>
      <c r="H149" s="135"/>
      <c r="I149" s="135"/>
      <c r="J149" s="135"/>
      <c r="K149" s="135"/>
      <c r="L149" s="135"/>
      <c r="M149" s="135"/>
      <c r="N149" s="135"/>
      <c r="O149" s="135"/>
      <c r="P149" s="141"/>
      <c r="Q149" s="135"/>
      <c r="R149" s="135"/>
      <c r="S149" s="135"/>
      <c r="T149" s="135"/>
      <c r="U149" s="135"/>
      <c r="V149" s="135"/>
      <c r="W149" s="135"/>
      <c r="X149" s="135"/>
      <c r="Y149" s="135"/>
      <c r="Z149" s="135"/>
    </row>
    <row r="150" hidden="1" spans="1:26">
      <c r="A150" s="133" t="s">
        <v>1343</v>
      </c>
      <c r="B150" s="135"/>
      <c r="C150" s="135"/>
      <c r="D150" s="135"/>
      <c r="E150" s="135"/>
      <c r="F150" s="135"/>
      <c r="G150" s="135"/>
      <c r="H150" s="135"/>
      <c r="I150" s="135"/>
      <c r="J150" s="135"/>
      <c r="K150" s="135"/>
      <c r="L150" s="135"/>
      <c r="M150" s="135"/>
      <c r="N150" s="135"/>
      <c r="O150" s="135"/>
      <c r="P150" s="141"/>
      <c r="Q150" s="135"/>
      <c r="R150" s="135"/>
      <c r="S150" s="135"/>
      <c r="T150" s="135"/>
      <c r="U150" s="135"/>
      <c r="V150" s="135"/>
      <c r="W150" s="135"/>
      <c r="X150" s="135"/>
      <c r="Y150" s="135"/>
      <c r="Z150" s="135"/>
    </row>
    <row r="151" hidden="1" spans="1:26">
      <c r="A151" s="133" t="s">
        <v>1344</v>
      </c>
      <c r="B151" s="135"/>
      <c r="C151" s="135"/>
      <c r="D151" s="135"/>
      <c r="E151" s="135"/>
      <c r="F151" s="135"/>
      <c r="G151" s="135"/>
      <c r="H151" s="135"/>
      <c r="I151" s="135"/>
      <c r="J151" s="135"/>
      <c r="K151" s="135"/>
      <c r="L151" s="135"/>
      <c r="M151" s="135"/>
      <c r="N151" s="135"/>
      <c r="O151" s="135"/>
      <c r="P151" s="141"/>
      <c r="Q151" s="135"/>
      <c r="R151" s="135"/>
      <c r="S151" s="135"/>
      <c r="T151" s="135"/>
      <c r="U151" s="135"/>
      <c r="V151" s="135"/>
      <c r="W151" s="135"/>
      <c r="X151" s="135"/>
      <c r="Y151" s="135"/>
      <c r="Z151" s="135"/>
    </row>
    <row r="152" hidden="1" spans="1:26">
      <c r="A152" s="133" t="s">
        <v>1345</v>
      </c>
      <c r="B152" s="135"/>
      <c r="C152" s="135"/>
      <c r="D152" s="135"/>
      <c r="E152" s="135"/>
      <c r="F152" s="135"/>
      <c r="G152" s="135"/>
      <c r="H152" s="135"/>
      <c r="I152" s="135"/>
      <c r="J152" s="135"/>
      <c r="K152" s="135"/>
      <c r="L152" s="135"/>
      <c r="M152" s="135"/>
      <c r="N152" s="135"/>
      <c r="O152" s="135"/>
      <c r="P152" s="141"/>
      <c r="Q152" s="135"/>
      <c r="R152" s="135"/>
      <c r="S152" s="135"/>
      <c r="T152" s="135"/>
      <c r="U152" s="135"/>
      <c r="V152" s="135"/>
      <c r="W152" s="135"/>
      <c r="X152" s="135"/>
      <c r="Y152" s="135"/>
      <c r="Z152" s="135"/>
    </row>
    <row r="153" hidden="1" spans="1:26">
      <c r="A153" s="133" t="s">
        <v>1346</v>
      </c>
      <c r="B153" s="135"/>
      <c r="C153" s="135"/>
      <c r="D153" s="135"/>
      <c r="E153" s="135"/>
      <c r="F153" s="135"/>
      <c r="G153" s="135"/>
      <c r="H153" s="135"/>
      <c r="I153" s="135"/>
      <c r="J153" s="135"/>
      <c r="K153" s="135"/>
      <c r="L153" s="135"/>
      <c r="M153" s="135"/>
      <c r="N153" s="135"/>
      <c r="O153" s="135"/>
      <c r="P153" s="141"/>
      <c r="Q153" s="135"/>
      <c r="R153" s="135"/>
      <c r="S153" s="135"/>
      <c r="T153" s="135"/>
      <c r="U153" s="135"/>
      <c r="V153" s="135"/>
      <c r="W153" s="135"/>
      <c r="X153" s="135"/>
      <c r="Y153" s="135"/>
      <c r="Z153" s="135"/>
    </row>
    <row r="154" hidden="1" spans="1:26">
      <c r="A154" s="133" t="s">
        <v>1347</v>
      </c>
      <c r="B154" s="135"/>
      <c r="C154" s="135"/>
      <c r="D154" s="135"/>
      <c r="E154" s="135"/>
      <c r="F154" s="135"/>
      <c r="G154" s="135"/>
      <c r="H154" s="135"/>
      <c r="I154" s="135"/>
      <c r="J154" s="135"/>
      <c r="K154" s="135"/>
      <c r="L154" s="135"/>
      <c r="M154" s="135"/>
      <c r="N154" s="135"/>
      <c r="O154" s="135"/>
      <c r="P154" s="141"/>
      <c r="Q154" s="135"/>
      <c r="R154" s="135"/>
      <c r="S154" s="135"/>
      <c r="T154" s="135"/>
      <c r="U154" s="135"/>
      <c r="V154" s="135"/>
      <c r="W154" s="135"/>
      <c r="X154" s="135"/>
      <c r="Y154" s="135"/>
      <c r="Z154" s="135"/>
    </row>
    <row r="155" hidden="1" spans="1:26">
      <c r="A155" s="133" t="s">
        <v>1348</v>
      </c>
      <c r="B155" s="135"/>
      <c r="C155" s="135"/>
      <c r="D155" s="135"/>
      <c r="E155" s="135"/>
      <c r="F155" s="135"/>
      <c r="G155" s="135"/>
      <c r="H155" s="135"/>
      <c r="I155" s="135"/>
      <c r="J155" s="135"/>
      <c r="K155" s="135"/>
      <c r="L155" s="135"/>
      <c r="M155" s="135"/>
      <c r="N155" s="135"/>
      <c r="O155" s="135"/>
      <c r="P155" s="141"/>
      <c r="Q155" s="135"/>
      <c r="R155" s="135"/>
      <c r="S155" s="135"/>
      <c r="T155" s="135"/>
      <c r="U155" s="135"/>
      <c r="V155" s="135"/>
      <c r="W155" s="135"/>
      <c r="X155" s="135"/>
      <c r="Y155" s="135"/>
      <c r="Z155" s="135"/>
    </row>
    <row r="156" hidden="1" spans="1:26">
      <c r="A156" s="133" t="s">
        <v>1349</v>
      </c>
      <c r="B156" s="135"/>
      <c r="C156" s="135"/>
      <c r="D156" s="135"/>
      <c r="E156" s="135"/>
      <c r="F156" s="135"/>
      <c r="G156" s="135"/>
      <c r="H156" s="135"/>
      <c r="I156" s="135"/>
      <c r="J156" s="135"/>
      <c r="K156" s="135"/>
      <c r="L156" s="135"/>
      <c r="M156" s="135"/>
      <c r="N156" s="135"/>
      <c r="O156" s="135"/>
      <c r="P156" s="141"/>
      <c r="Q156" s="135"/>
      <c r="R156" s="135"/>
      <c r="S156" s="135"/>
      <c r="T156" s="135"/>
      <c r="U156" s="135"/>
      <c r="V156" s="135"/>
      <c r="W156" s="135"/>
      <c r="X156" s="135"/>
      <c r="Y156" s="135"/>
      <c r="Z156" s="135"/>
    </row>
    <row r="157" hidden="1" spans="1:26">
      <c r="A157" s="133" t="s">
        <v>1350</v>
      </c>
      <c r="B157" s="135"/>
      <c r="C157" s="135"/>
      <c r="D157" s="135"/>
      <c r="E157" s="135"/>
      <c r="F157" s="135"/>
      <c r="G157" s="135"/>
      <c r="H157" s="135"/>
      <c r="I157" s="135"/>
      <c r="J157" s="135"/>
      <c r="K157" s="135"/>
      <c r="L157" s="135"/>
      <c r="M157" s="135"/>
      <c r="N157" s="135"/>
      <c r="O157" s="135"/>
      <c r="P157" s="141"/>
      <c r="Q157" s="135"/>
      <c r="R157" s="135"/>
      <c r="S157" s="135"/>
      <c r="T157" s="135"/>
      <c r="U157" s="135"/>
      <c r="V157" s="135"/>
      <c r="W157" s="135"/>
      <c r="X157" s="135"/>
      <c r="Y157" s="135"/>
      <c r="Z157" s="135"/>
    </row>
    <row r="158" hidden="1" spans="1:26">
      <c r="A158" s="133" t="s">
        <v>1351</v>
      </c>
      <c r="B158" s="135"/>
      <c r="C158" s="135"/>
      <c r="D158" s="135"/>
      <c r="E158" s="135"/>
      <c r="F158" s="135"/>
      <c r="G158" s="135"/>
      <c r="H158" s="135"/>
      <c r="I158" s="135"/>
      <c r="J158" s="135"/>
      <c r="K158" s="135"/>
      <c r="L158" s="135"/>
      <c r="M158" s="135"/>
      <c r="N158" s="135"/>
      <c r="O158" s="135"/>
      <c r="P158" s="141"/>
      <c r="Q158" s="135"/>
      <c r="R158" s="135"/>
      <c r="S158" s="135"/>
      <c r="T158" s="135"/>
      <c r="U158" s="135"/>
      <c r="V158" s="135"/>
      <c r="W158" s="135"/>
      <c r="X158" s="135"/>
      <c r="Y158" s="135"/>
      <c r="Z158" s="135"/>
    </row>
    <row r="159" hidden="1" spans="1:26">
      <c r="A159" s="133" t="s">
        <v>1352</v>
      </c>
      <c r="B159" s="135"/>
      <c r="C159" s="135"/>
      <c r="D159" s="135"/>
      <c r="E159" s="135"/>
      <c r="F159" s="135"/>
      <c r="G159" s="135"/>
      <c r="H159" s="135"/>
      <c r="I159" s="135"/>
      <c r="J159" s="135"/>
      <c r="K159" s="135"/>
      <c r="L159" s="135"/>
      <c r="M159" s="135"/>
      <c r="N159" s="135"/>
      <c r="O159" s="135"/>
      <c r="P159" s="141"/>
      <c r="Q159" s="135"/>
      <c r="R159" s="135"/>
      <c r="S159" s="135"/>
      <c r="T159" s="135"/>
      <c r="U159" s="135"/>
      <c r="V159" s="135"/>
      <c r="W159" s="135"/>
      <c r="X159" s="135"/>
      <c r="Y159" s="135"/>
      <c r="Z159" s="135"/>
    </row>
    <row r="160" hidden="1" spans="1:26">
      <c r="A160" s="133" t="s">
        <v>1353</v>
      </c>
      <c r="B160" s="135"/>
      <c r="C160" s="135"/>
      <c r="D160" s="135"/>
      <c r="E160" s="135"/>
      <c r="F160" s="135"/>
      <c r="G160" s="135"/>
      <c r="H160" s="135"/>
      <c r="I160" s="135"/>
      <c r="J160" s="135"/>
      <c r="K160" s="135"/>
      <c r="L160" s="135"/>
      <c r="M160" s="135"/>
      <c r="N160" s="135"/>
      <c r="O160" s="135"/>
      <c r="P160" s="141"/>
      <c r="Q160" s="135"/>
      <c r="R160" s="135"/>
      <c r="S160" s="135"/>
      <c r="T160" s="135"/>
      <c r="U160" s="135"/>
      <c r="V160" s="135"/>
      <c r="W160" s="135"/>
      <c r="X160" s="135"/>
      <c r="Y160" s="135"/>
      <c r="Z160" s="135"/>
    </row>
    <row r="161" hidden="1" spans="1:26">
      <c r="A161" s="133" t="s">
        <v>1354</v>
      </c>
      <c r="B161" s="135"/>
      <c r="C161" s="135"/>
      <c r="D161" s="135"/>
      <c r="E161" s="135"/>
      <c r="F161" s="135"/>
      <c r="G161" s="135"/>
      <c r="H161" s="135"/>
      <c r="I161" s="135"/>
      <c r="J161" s="135"/>
      <c r="K161" s="135"/>
      <c r="L161" s="135"/>
      <c r="M161" s="135"/>
      <c r="N161" s="135"/>
      <c r="O161" s="135"/>
      <c r="P161" s="141"/>
      <c r="Q161" s="135"/>
      <c r="R161" s="135"/>
      <c r="S161" s="135"/>
      <c r="T161" s="135"/>
      <c r="U161" s="135"/>
      <c r="V161" s="135"/>
      <c r="W161" s="135"/>
      <c r="X161" s="135"/>
      <c r="Y161" s="135"/>
      <c r="Z161" s="135"/>
    </row>
  </sheetData>
  <mergeCells count="2">
    <mergeCell ref="A2:Z2"/>
    <mergeCell ref="A4:A5"/>
  </mergeCells>
  <printOptions horizontalCentered="1"/>
  <pageMargins left="0.393700787401575" right="0.393700787401575" top="0.590551181102362" bottom="0.62992125984252" header="0.393700787401575" footer="0.393700787401575"/>
  <pageSetup paperSize="9" scale="50" firstPageNumber="62" fitToHeight="0" orientation="landscape" useFirstPageNumber="1"/>
  <headerFooter differentOddEven="1">
    <oddFooter>&amp;L&amp;16—&amp;P—</oddFooter>
    <evenFooter>&amp;R&amp;16—&amp;P—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rangeList sheetStid="9" master=""/>
  <rangeList sheetStid="12" master=""/>
  <rangeList sheetStid="48" master=""/>
  <rangeList sheetStid="18" master="">
    <arrUserId title="区域1" rangeCreator="" othersAccessPermission="edit"/>
  </rangeList>
  <rangeList sheetStid="6" master=""/>
  <rangeList sheetStid="5" master=""/>
  <rangeList sheetStid="26" master=""/>
  <rangeList sheetStid="23" master=""/>
  <rangeList sheetStid="53" master=""/>
  <rangeList sheetStid="11" master=""/>
  <rangeList sheetStid="36" master=""/>
  <rangeList sheetStid="10" master=""/>
  <rangeList sheetStid="49" master=""/>
  <rangeList sheetStid="50" master=""/>
  <rangeList sheetStid="51" master=""/>
  <rangeList sheetStid="5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17</vt:i4>
      </vt:variant>
    </vt:vector>
  </HeadingPairs>
  <TitlesOfParts>
    <vt:vector size="17" baseType="lpstr">
      <vt:lpstr>封面</vt:lpstr>
      <vt:lpstr>目录</vt:lpstr>
      <vt:lpstr>表一</vt:lpstr>
      <vt:lpstr>表二</vt:lpstr>
      <vt:lpstr>表三</vt:lpstr>
      <vt:lpstr>表四</vt:lpstr>
      <vt:lpstr>表五</vt:lpstr>
      <vt:lpstr>表六 (1)</vt:lpstr>
      <vt:lpstr>表六（2)</vt:lpstr>
      <vt:lpstr>表七</vt:lpstr>
      <vt:lpstr>表八</vt:lpstr>
      <vt:lpstr>表九</vt:lpstr>
      <vt:lpstr>表十</vt:lpstr>
      <vt:lpstr>表十一</vt:lpstr>
      <vt:lpstr>表十二</vt:lpstr>
      <vt:lpstr>表十三</vt:lpstr>
      <vt:lpstr>表十四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Doubt</cp:lastModifiedBy>
  <cp:revision>1</cp:revision>
  <dcterms:created xsi:type="dcterms:W3CDTF">2006-02-17T21:15:00Z</dcterms:created>
  <cp:lastPrinted>2022-02-27T14:35:00Z</cp:lastPrinted>
  <dcterms:modified xsi:type="dcterms:W3CDTF">2024-01-03T07:29:57Z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20E5AE040F6C4ACA95A6D0D67BE70CC6</vt:lpwstr>
  </property>
  <property fmtid="{D5CDD505-2E9C-101B-9397-08002B2CF9AE}" pid="4" name="KSOReadingLayout">
    <vt:bool>true</vt:bool>
  </property>
</Properties>
</file>