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般预算收支调整总表" sheetId="1" r:id="rId1"/>
    <sheet name="土地出让金基金预算" sheetId="2" r:id="rId2"/>
    <sheet name="债券资金安排" sheetId="3" r:id="rId3"/>
    <sheet name="科学发展先进县资金安排" sheetId="4" r:id="rId4"/>
    <sheet name="调入资金安排" sheetId="5" r:id="rId5"/>
    <sheet name="Sheet1" sheetId="6" r:id="rId6"/>
  </sheets>
  <definedNames>
    <definedName name="_xlnm.Print_Titles" localSheetId="3">科学发展先进县资金安排!$1:$4</definedName>
    <definedName name="_xlnm.Print_Titles" localSheetId="1">土地出让金基金预算!$1:$5</definedName>
    <definedName name="_xlnm.Print_Titles" localSheetId="0">一般预算收支调整总表!$2:$6</definedName>
    <definedName name="_xlnm.Print_Titles" localSheetId="2">债券资金安排!$2:$4</definedName>
    <definedName name="_xlnm.Print_Area" localSheetId="0">一般预算收支调整总表!$A$1:$M$89</definedName>
  </definedNames>
  <calcPr calcId="144525"/>
</workbook>
</file>

<file path=xl/sharedStrings.xml><?xml version="1.0" encoding="utf-8"?>
<sst xmlns="http://schemas.openxmlformats.org/spreadsheetml/2006/main" count="460" uniqueCount="334">
  <si>
    <t>附件1</t>
  </si>
  <si>
    <t xml:space="preserve">   龙胜各族自治县2019年一般预算调整表</t>
  </si>
  <si>
    <t xml:space="preserve">  编制单位：龙胜县财政局</t>
  </si>
  <si>
    <t>编制日期：2019年12月18日</t>
  </si>
  <si>
    <t>单位：万元</t>
  </si>
  <si>
    <t>收              入</t>
  </si>
  <si>
    <t>支                    出</t>
  </si>
  <si>
    <t>增减因素</t>
  </si>
  <si>
    <t>项目</t>
  </si>
  <si>
    <t>2019年年初预算</t>
  </si>
  <si>
    <t>2019年预算调整数</t>
  </si>
  <si>
    <t>增、减</t>
  </si>
  <si>
    <t>2019年年初预算数</t>
  </si>
  <si>
    <t>增        减</t>
  </si>
  <si>
    <t>合计</t>
  </si>
  <si>
    <t>新增政府债券</t>
  </si>
  <si>
    <t>专项转移支付</t>
  </si>
  <si>
    <t>一般转移支付</t>
  </si>
  <si>
    <t>公共预算调整增、减</t>
  </si>
  <si>
    <t>一、一般公共预算收入</t>
  </si>
  <si>
    <t>一、一般公共服务</t>
  </si>
  <si>
    <t>⑴增加专项转移支付支出146万元；⑵增加一般转移支付支出4180万元：增加预留增500万元；增加2014年10月-2017年12月退休待遇重新计算经费457.74万元；增加发放离退休人员生活补助1280万元；增加乡镇补贴提高标准250万元；增加2018年绩效奖励\十三月工资进入养老保险缴费基数单位负担部分1100万元；县城滨江公园老年活动中心建设152.26万元；调增其他支出县水利局新入编财政供养人员工资福利50万元；调增其他支出部门非税收入安排的支出800万元；调增职工死亡抚恤费80万元；增加防空地下室易地建设费1035万元；增加国土空间规划和乡村规划资金300万元；增加龙胜中学地质灾害应急勘察涉及经费48万元；增加龙胜温泉采矿权许可延续登记相关经费21万元；增加民族体育中心塑胶跑道改造项目资金66万元；增加民族工作经费10万元；增加医保局办公经费22万元；增加2019年“农民丰收节”暨龙脊梯田全球重要农业文化遗产稻耕文化旅游节工作经费71万元；三门镇花坪村困难群众生活补助资金13万元；增加龙脊镇马海村田赛组旅游公厕建设经费10万元；增加“儿童之家”建设经费15万元；增加扶贫工作经费7万元；增加全国贫困村定点观测培训班里才村现场点筹备经费7万元；增加自然资源局办公设备购买经费8万元；增加县政府大院行车通道智能识别道闸工程建设资金5万元。公共预算调整：2019年初预算其他支出离退休人员生活补助经费980万元调整710万元为在职职工年终绩效奖励资金；其他税收事务支出调整50万元用于财政局扶贫帮扶经费。</t>
  </si>
  <si>
    <t>二、转移性收入</t>
  </si>
  <si>
    <t>二、外交支出</t>
  </si>
  <si>
    <t xml:space="preserve"> ㈠ 上级补助收入</t>
  </si>
  <si>
    <t>三、国防支出</t>
  </si>
  <si>
    <t xml:space="preserve">    ⑴返还性收入</t>
  </si>
  <si>
    <t>四、公共安全支出</t>
  </si>
  <si>
    <t>⑴增加一般转移支付支出547万元：(2)增加专项转移支付1200万元；(3)新增政府债券支出:增加人民法院审判大楼100万元；调整增加县公安局乡镇视频视频监控127万元；增加县公安局县城无缝视频128万元；增加交警队高速路监控系统建设200万元；增加龙脊景区公路货运车辆超载治理专项行动工作经费12万元。</t>
  </si>
  <si>
    <t xml:space="preserve">      所得税基数返还收入 </t>
  </si>
  <si>
    <t>五、教育支出</t>
  </si>
  <si>
    <t>⑴增加专项转移支付支出1544万元；⑵增加一般转移支付支出6271万元；调整增加龙胜镇第二小学营养午餐配套服务费25万元；增加金结小学围墙项目经费10万元；</t>
  </si>
  <si>
    <t xml:space="preserve">      成品油税费改革税收返还收入</t>
  </si>
  <si>
    <t>六、科学技术支出</t>
  </si>
  <si>
    <t>⑴增加专项转移支付支出10万元；</t>
  </si>
  <si>
    <t xml:space="preserve">      增值税税收返还收入</t>
  </si>
  <si>
    <t>七、文化旅游体育与传媒支出</t>
  </si>
  <si>
    <t>⑴增加专项转移支付支出649万元；⑵增加一般转移支付93万元：</t>
  </si>
  <si>
    <t xml:space="preserve">      消费税税收返还收入</t>
  </si>
  <si>
    <t>八、社会保障和就业支出</t>
  </si>
  <si>
    <t>⑴增加专项转移支付支出1260万元；⑵增加一般转移支付2006万元；(3)新增政府债券支出:增加残疾人托养中心项目200万元；企业职工养老保险兜底资金1256万元。</t>
  </si>
  <si>
    <t xml:space="preserve">      增值税五五分享税收返还收入</t>
  </si>
  <si>
    <t>九、卫生健康支出</t>
  </si>
  <si>
    <t>⑴增加专项转移支付支出680万元；⑵增加一般转移支付2394万元：(3)新增政府债券支出:增加中医医院整体搬迁重建项目200万元；</t>
  </si>
  <si>
    <t xml:space="preserve">      其他税收返还收入</t>
  </si>
  <si>
    <t>十、节能环保支出</t>
  </si>
  <si>
    <t>⑴增加专项转移支付支出3452万元；⑵增加一般转移支付9万元：</t>
  </si>
  <si>
    <t xml:space="preserve">    ⑵一般性转移支付收入</t>
  </si>
  <si>
    <t>十一、城乡社区支出</t>
  </si>
  <si>
    <t>⑴增加新增政府债券支出2700万元：桂三高速公路龙胜县城段出口连接公路（龙脊大道）工程项目200万元；瓢里至平等(野牛坳)公路改建工程1,000万元；三门镇新型城镇化示范乡镇建设项目400万元；龙脊镇新型城镇化建设项目500万元；贫困地区基础设施建设(龙脊大道)200万元；农村公路400万元；(2)增加专项转移支付3359万元；⑶增加一般转移支付1813万元.增加县庆主会场建设100万元；增加龙胜龙脊梯田风景名胜区大循环公路工程200万元；增加桂三高速公路龙胜县城出口连接公路工程征地拆迁200万元；增加桂三高速公路龙胜县城出口连接公路工程建设资金300万元；增加乐江镇城镇化示范乡镇建设150万元；增加三门镇集镇灾后重建项目150万元；增加龙脊镇城镇化示范乡镇建设160万元；增加瓢里至平等公路建设项目300万元；增加龙脊大道建设（一期）1000万元；增加龙脊大道建设（二期）400万元；增加龙脊大循环路建设300万元；增加2019年第一批次城市建设用地规费66万元；增加土地储备资金1000万元；增加龙脊梯田景区大循环公路工程项目耕地开垦费75万元；土地出让金支出调入一般公共预算科目更正6389万元。</t>
  </si>
  <si>
    <t xml:space="preserve">      体制补助收入</t>
  </si>
  <si>
    <t>十二、农林水支出</t>
  </si>
  <si>
    <t>⑴增加新增政府债券支出4159万元：易地扶贫搬迁项目4159万元；⑵增加专项转移支付支出7166万元；⑶增加一般转移支付19569万元；预算调整：贫困村基础设施建设100万元调整到财政专项扶贫资金。</t>
  </si>
  <si>
    <t xml:space="preserve">      均衡性转移支付收入</t>
  </si>
  <si>
    <t>十三、交通运输支出</t>
  </si>
  <si>
    <t>⑴增加专项转移支付支出389万元；</t>
  </si>
  <si>
    <t xml:space="preserve">      县级基本财力保障机制奖补资金收入</t>
  </si>
  <si>
    <t>十四、资源勘探信息等支出</t>
  </si>
  <si>
    <t>⑴增加专项转移支付支出150万元；</t>
  </si>
  <si>
    <t xml:space="preserve">      结算补助收入</t>
  </si>
  <si>
    <t>十五、商业服务业等支出</t>
  </si>
  <si>
    <t>⑴增加专项转移支付支出15万元；</t>
  </si>
  <si>
    <t xml:space="preserve">      资源枯竭型城市转移支付补助收入</t>
  </si>
  <si>
    <t>十六、金融支出</t>
  </si>
  <si>
    <t>⑴增加专项转移支付支出30万元；</t>
  </si>
  <si>
    <t xml:space="preserve">      企业事业单位划转补助收入</t>
  </si>
  <si>
    <t>十七、援助其他地区支出</t>
  </si>
  <si>
    <t xml:space="preserve">      成品油税费改革转移支付补助收入</t>
  </si>
  <si>
    <t>十八、自然资源海洋气象等支出</t>
  </si>
  <si>
    <t>⑴增加专项转移支付支出134万元；⑵增加一般转移支付11万元：</t>
  </si>
  <si>
    <t xml:space="preserve">      基层公检法司转移支付收入</t>
  </si>
  <si>
    <t>十九、住房保障支出</t>
  </si>
  <si>
    <t>⑴增加专项转移支付支出13万元；⑵增加一般转移支付927万元：</t>
  </si>
  <si>
    <t xml:space="preserve">      城乡义务教育转移支付收入</t>
  </si>
  <si>
    <t>二十、粮油物资储备支出</t>
  </si>
  <si>
    <t>⑴增加一般转移支付16万元：</t>
  </si>
  <si>
    <t xml:space="preserve">      基本养老金转移支付收入</t>
  </si>
  <si>
    <t>二十一、灾害防治及应急管理支出</t>
  </si>
  <si>
    <t>⑴增加专项转移支付支出1047万元；⑵增加一般转移支付315万元：</t>
  </si>
  <si>
    <t xml:space="preserve">      城乡居民医疗保险转移支付收入</t>
  </si>
  <si>
    <t>二十二、预备费</t>
  </si>
  <si>
    <t xml:space="preserve">      农村综合改革转移支付收入</t>
  </si>
  <si>
    <t>二十三、债务付息支出</t>
  </si>
  <si>
    <t>公共预算调整增加480万元</t>
  </si>
  <si>
    <t xml:space="preserve">      产粮（油）大县奖励资金收入</t>
  </si>
  <si>
    <t>二十四、债务发行费用支出</t>
  </si>
  <si>
    <t xml:space="preserve">      重点生态功能区转移支付收入</t>
  </si>
  <si>
    <t>二十五、其他支出</t>
  </si>
  <si>
    <t>调减其他支出年初预留机关事业养老保险基金缺口资金2000万元（其他资金安排）；调减其他支出年初预留企业养老保险基金缺口资金1000万元；其他支出调增232万元。</t>
  </si>
  <si>
    <t xml:space="preserve">      固定数额补助收入</t>
  </si>
  <si>
    <t>一般公共预算支出合计</t>
  </si>
  <si>
    <t xml:space="preserve">      革命老区转移支付收入</t>
  </si>
  <si>
    <t>转移性支出</t>
  </si>
  <si>
    <t xml:space="preserve">      民族地区转移支付收入</t>
  </si>
  <si>
    <t xml:space="preserve">  上解上级支出</t>
  </si>
  <si>
    <t xml:space="preserve">      贫困地区转移支付收入</t>
  </si>
  <si>
    <t xml:space="preserve">      体制上解支出</t>
  </si>
  <si>
    <t xml:space="preserve">      一般公共服务共同财政事权转移支付收入</t>
  </si>
  <si>
    <t xml:space="preserve">      专项上解支出</t>
  </si>
  <si>
    <t xml:space="preserve">      外交共同财政事权转移支付收入</t>
  </si>
  <si>
    <t xml:space="preserve">  债券还本支出</t>
  </si>
  <si>
    <t>⑴调增地方政府一般还本支出1700万元；增加兴龙城投融资贷款债务还本455万元</t>
  </si>
  <si>
    <t xml:space="preserve">      国防共同财政事权转移支付收入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</si>
  <si>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</si>
  <si>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</si>
  <si>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科学技术共同财政事权转移支付收入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</si>
  <si>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</si>
  <si>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</si>
  <si>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卫生健康共同财政事权转移支付收入</t>
  </si>
  <si>
    <t xml:space="preserve">      节能环保共同财政事权转移支付收入</t>
  </si>
  <si>
    <t xml:space="preserve">      城乡社区共同财政事权转移支付收入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</si>
  <si>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</si>
  <si>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</si>
  <si>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资源勘探信息等共同财政事权转移支付收入</t>
  </si>
  <si>
    <t xml:space="preserve">      商业服务业等共同财政事权转移支付收入</t>
  </si>
  <si>
    <t xml:space="preserve">      金融共同财政事权转移支付收入</t>
  </si>
  <si>
    <t xml:space="preserve">      自然资源海洋气象等共同财政事权转移支付收入</t>
  </si>
  <si>
    <t xml:space="preserve">      住房保障共同财政事权转移支付收入</t>
  </si>
  <si>
    <t xml:space="preserve">      粮油物资储备共同财政事权转移支付收入</t>
  </si>
  <si>
    <t xml:space="preserve">      其他共同财政事权转移支付收入</t>
  </si>
  <si>
    <t xml:space="preserve">      其他一般性转移支付收入</t>
  </si>
  <si>
    <t xml:space="preserve"> 　⑶专项转移支付收入</t>
  </si>
  <si>
    <t xml:space="preserve">      一般公共服务</t>
  </si>
  <si>
    <t xml:space="preserve"> 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</si>
  <si>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</si>
  <si>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</si>
  <si>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</si>
  <si>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</si>
  <si>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</si>
  <si>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</si>
  <si>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</si>
  <si>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</si>
  <si>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</si>
  <si>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</si>
  <si>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</si>
  <si>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</si>
  <si>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</si>
  <si>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</si>
  <si>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</si>
  <si>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</si>
  <si>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</si>
  <si>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</si>
  <si>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</si>
  <si>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</si>
  <si>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>三、上年结余收入</t>
  </si>
  <si>
    <t>四、调入资金</t>
  </si>
  <si>
    <t xml:space="preserve">    调入预算稳定调节基金</t>
  </si>
  <si>
    <t xml:space="preserve">    从政府性基金预算调入</t>
  </si>
  <si>
    <t xml:space="preserve">    从国有资本经营预算调入</t>
  </si>
  <si>
    <t xml:space="preserve">    从其他资金调入</t>
  </si>
  <si>
    <t>五、地方政府一般债务收入</t>
  </si>
  <si>
    <t>六、地方政府一般债务转贷收入</t>
  </si>
  <si>
    <t>七、接受其他地区援助收入</t>
  </si>
  <si>
    <t>收入总计</t>
  </si>
  <si>
    <t>支出总计</t>
  </si>
  <si>
    <t>附件2</t>
  </si>
  <si>
    <t>2019年龙胜县土地出让金收支调整预算表</t>
  </si>
  <si>
    <t>金额单位：万元</t>
  </si>
  <si>
    <t>收入预算</t>
  </si>
  <si>
    <t>支出预算</t>
  </si>
  <si>
    <t>序号</t>
  </si>
  <si>
    <t>项目内容</t>
  </si>
  <si>
    <t>年初预算</t>
  </si>
  <si>
    <t>增(+)减(-)</t>
  </si>
  <si>
    <t>调整预算</t>
  </si>
  <si>
    <t>功能科目名称及代码</t>
  </si>
  <si>
    <t>金额</t>
  </si>
  <si>
    <t>上年结余</t>
  </si>
  <si>
    <t>1、健康扶贫公益金</t>
  </si>
  <si>
    <t>2120899其他国有土地使用权出让收入安排的支出</t>
  </si>
  <si>
    <t>2019年土地出让金收入</t>
  </si>
  <si>
    <t>2、土地变更调查经费</t>
  </si>
  <si>
    <t>3、龙胜县数字县城地理空间框架建设资金</t>
  </si>
  <si>
    <t>2120803城市建设支出</t>
  </si>
  <si>
    <t>4、不动产登记“互联网+政务”便民服务窗口经费</t>
  </si>
  <si>
    <t>5、全县第三次国土资源调查工作经费</t>
  </si>
  <si>
    <t>6、财政投资评审预决算经费</t>
  </si>
  <si>
    <t>7、脱贫攻坚指挥部工作经费</t>
  </si>
  <si>
    <t>9、宝玉石综合开发宣传经费</t>
  </si>
  <si>
    <t>10、全县正科领导干部依法行政能力素质提升培训经费</t>
  </si>
  <si>
    <t>11、党校山体塌方修复经费</t>
  </si>
  <si>
    <t>12、征地拆迁补偿经费</t>
  </si>
  <si>
    <t>2120801征地和拆迁补偿支出</t>
  </si>
  <si>
    <t>13、城镇低效用地再开发专项规划经费</t>
  </si>
  <si>
    <t>14、乡镇基层政权建设</t>
  </si>
  <si>
    <t>15、不动产登记中介收费退款</t>
  </si>
  <si>
    <t>16、农村公路养护</t>
  </si>
  <si>
    <t>2120804农村基础设施建设支出</t>
  </si>
  <si>
    <t>17、龙胜废弃园地、残次林地调查经费</t>
  </si>
  <si>
    <t>18、不动产登记历史数据整合建库工作经费</t>
  </si>
  <si>
    <t>19、为民服务及村级运行维护费</t>
  </si>
  <si>
    <t>20、脱贫攻坚（乡村振兴）工作队经费</t>
  </si>
  <si>
    <t>21、重点项目前期及工作经费</t>
  </si>
  <si>
    <t>22、温泉森林公园经营权转让费</t>
  </si>
  <si>
    <t>25、市政建设（零星维修）</t>
  </si>
  <si>
    <t>26、专项宣传费</t>
  </si>
  <si>
    <t>27、县城环卫购买服务经费</t>
  </si>
  <si>
    <t>28、涉案车辆停车费</t>
  </si>
  <si>
    <t>29、少数民族村寨防火经费</t>
  </si>
  <si>
    <t>30、县城垃圾转运桂林转运费（含人员经费、设备费）</t>
  </si>
  <si>
    <t>31、旅游节庆</t>
  </si>
  <si>
    <t>32、旅游促销费</t>
  </si>
  <si>
    <t>33、北岸建设</t>
  </si>
  <si>
    <t>34、森林公安大楼建设</t>
  </si>
  <si>
    <t>35、三门镇新型城镇化建设工程</t>
  </si>
  <si>
    <t>36、农业产业风险金</t>
  </si>
  <si>
    <t>37、其他支出（返还）</t>
  </si>
  <si>
    <t>38、平等广南新农村建设</t>
  </si>
  <si>
    <t>39、法院审判大楼建设工程</t>
  </si>
  <si>
    <t>40、县城饮用水自动监测站建设</t>
  </si>
  <si>
    <t>41、北岸及勒东被征地农民生活补助和保险</t>
  </si>
  <si>
    <t>2120805补助被征地农民支出</t>
  </si>
  <si>
    <t>42、垃圾渗滤液处理专项运行经费</t>
  </si>
  <si>
    <t>43、党校会议中心装修经费</t>
  </si>
  <si>
    <t>44、人武部规范化建设及民兵综合训练场等项目</t>
  </si>
  <si>
    <t>45、森林资源规划设计调查（二类调查）</t>
  </si>
  <si>
    <t>46、河长制工作经费</t>
  </si>
  <si>
    <t>47、乡镇视频监控</t>
  </si>
  <si>
    <t>48、县城无缝视频</t>
  </si>
  <si>
    <t>49、耕地质量等别更新与监测经费</t>
  </si>
  <si>
    <t>50、地质灾害申报勘察设计工作经费</t>
  </si>
  <si>
    <t>51、归还发放2017年企业退休人员养老保险金借款</t>
  </si>
  <si>
    <t>52、村级组织委员经费</t>
  </si>
  <si>
    <t>53、大案要案查处经费</t>
  </si>
  <si>
    <t>54、绩效工作经费</t>
  </si>
  <si>
    <t>55、车辆购置经费</t>
  </si>
  <si>
    <t>56、重大项目指挥部工作经费</t>
  </si>
  <si>
    <t>57、新农村生态乡村示范村（屯）建设资金</t>
  </si>
  <si>
    <t>58、专项债券付息支出</t>
  </si>
  <si>
    <t>59、专项债券发行费支出</t>
  </si>
  <si>
    <t>60、老乡家园-县城庆新路易地扶贫搬迁集安置点物业管理费</t>
  </si>
  <si>
    <t>61、龙脊镇垃圾处理中心设备款</t>
  </si>
  <si>
    <t>62、电子商务公共服务中心场地租金</t>
  </si>
  <si>
    <t>63、平等河管理划定费</t>
  </si>
  <si>
    <t>64、财政专项扶贫资金</t>
  </si>
  <si>
    <t>调出资金</t>
  </si>
  <si>
    <t xml:space="preserve">合计 </t>
  </si>
  <si>
    <t>合   计</t>
  </si>
  <si>
    <t>附件3</t>
  </si>
  <si>
    <t>2019年政府债券资金项目安排情况表</t>
  </si>
  <si>
    <t>龙胜县财政局编制</t>
  </si>
  <si>
    <t>单  位</t>
  </si>
  <si>
    <t>项        目</t>
  </si>
  <si>
    <t>金  额</t>
  </si>
  <si>
    <t>县发改局</t>
  </si>
  <si>
    <t>易地扶贫搬迁</t>
  </si>
  <si>
    <t xml:space="preserve">       新增政府一般债券用于脱贫攻坚项目</t>
  </si>
  <si>
    <t>县法院</t>
  </si>
  <si>
    <t>人民法院审判大楼</t>
  </si>
  <si>
    <t>县中医院</t>
  </si>
  <si>
    <t>中医医院整体搬迁重建项目</t>
  </si>
  <si>
    <t>三门镇政府</t>
  </si>
  <si>
    <t>三门镇新型城镇化示范乡镇建设项目</t>
  </si>
  <si>
    <t>县交通局</t>
  </si>
  <si>
    <t>农村公路</t>
  </si>
  <si>
    <t>县残联</t>
  </si>
  <si>
    <t>残疾人托养中心项目</t>
  </si>
  <si>
    <t>桂三高速公路龙胜县城段出口连接公路工程（K2+480∽K4+880）</t>
  </si>
  <si>
    <t>瓢里至平等（野牛坳）公路改建工程</t>
  </si>
  <si>
    <t>龙脊镇政府</t>
  </si>
  <si>
    <t>龙脊镇新型城镇化建设项目</t>
  </si>
  <si>
    <t>兴龙城投公司</t>
  </si>
  <si>
    <t>贫困地区基础设施建设（龙脊大道）</t>
  </si>
  <si>
    <t>新增政府一般债券用于公益性资金项目</t>
  </si>
  <si>
    <t>政府一般债券支出合计</t>
  </si>
  <si>
    <t>2019年区政府一般债券（四期）（偿还2016年区政府一般债券（九期）</t>
  </si>
  <si>
    <t>再融资债券支出合计</t>
  </si>
  <si>
    <t>县国土局</t>
  </si>
  <si>
    <t>土地储备专项债券（天歌二期）</t>
  </si>
  <si>
    <t>县住建局</t>
  </si>
  <si>
    <t>棚户区改造专项债券（盛园路棚户区改造一期项目）</t>
  </si>
  <si>
    <t>土地储备专项债券支出合计</t>
  </si>
  <si>
    <t>总        计</t>
  </si>
  <si>
    <t>附件4</t>
  </si>
  <si>
    <t>龙胜各族自治县2018年度科学发展先进县奖励资金使用方案</t>
  </si>
  <si>
    <t>预算单位</t>
  </si>
  <si>
    <t>项      目</t>
  </si>
  <si>
    <t>安排数</t>
  </si>
  <si>
    <t>科目</t>
  </si>
  <si>
    <t>备注</t>
  </si>
  <si>
    <t>财政局</t>
  </si>
  <si>
    <t>预留增资</t>
  </si>
  <si>
    <t>“三保经费”</t>
  </si>
  <si>
    <t>各预算单位</t>
  </si>
  <si>
    <t>发放2019年离退休人员生活补助1560万元</t>
  </si>
  <si>
    <t>“三保经费”，离休人员13人，按1万元人/年、退休人员2576人，按0.6万元人/年</t>
  </si>
  <si>
    <t>2014年10月-2017年12月退休待遇重新计算（共304人）</t>
  </si>
  <si>
    <t>乡镇补贴提高标准</t>
  </si>
  <si>
    <t>2018年绩效奖励、十三个月工资进入养老保险缴费基数单位负担部分</t>
  </si>
  <si>
    <t>文体广旅局</t>
  </si>
  <si>
    <t>县庆主会场建设</t>
  </si>
  <si>
    <t>交通局</t>
  </si>
  <si>
    <t>龙胜龙脊梯田风景名胜区大循环公路工程</t>
  </si>
  <si>
    <t>桂三高速公路龙胜县城出口连接公路工程（K2+480-K4+880）征地拆迁</t>
  </si>
  <si>
    <t>桂三高速公路龙胜县城出口连接公路工程（K2+480-K4+880）建设资金</t>
  </si>
  <si>
    <t>乐江镇政府</t>
  </si>
  <si>
    <t>乐江镇城镇化示范乡镇建设</t>
  </si>
  <si>
    <t>三门镇集镇灾后重建项目</t>
  </si>
  <si>
    <t>住建局</t>
  </si>
  <si>
    <t>县城滨江公园老年活动中心建设</t>
  </si>
  <si>
    <t>龙脊镇城镇化示范乡镇建设</t>
  </si>
  <si>
    <t>合     计</t>
  </si>
  <si>
    <t>龙胜各族自治县2019年度调入资金使用计划</t>
  </si>
  <si>
    <t>龙脊梯田风景区大循环公路工程耕地开垦费</t>
  </si>
  <si>
    <t>自然资源局</t>
  </si>
  <si>
    <t>土地储备资金</t>
  </si>
  <si>
    <t>企业职工养老保险兜底资金</t>
  </si>
  <si>
    <t>2019年土地出让基金支出调入一般公共预算科目更正</t>
  </si>
  <si>
    <t>建议全部放212科目，便于今后核实</t>
  </si>
  <si>
    <t>县公安局</t>
  </si>
  <si>
    <t>乡镇视频监控</t>
  </si>
  <si>
    <t>县城无缝视频</t>
  </si>
  <si>
    <t>弥补2019年一般公共预算收入</t>
  </si>
  <si>
    <t>2019年第一批次城市建设用地规费</t>
  </si>
  <si>
    <t>瓢里至平等公路建设项目</t>
  </si>
  <si>
    <t>龙脊大道建设（一期）</t>
  </si>
  <si>
    <t>龙脊大道建设（二期）</t>
  </si>
  <si>
    <t>龙脊大循环路建设</t>
  </si>
  <si>
    <t>债务付息</t>
  </si>
  <si>
    <t>其他支出</t>
  </si>
  <si>
    <t>交警队</t>
  </si>
  <si>
    <t>高速路监控系统建设</t>
  </si>
  <si>
    <t>国土空间规划和乡村规划资金</t>
  </si>
  <si>
    <t>龙胜中学地质灾害应急勘察涉及经费</t>
  </si>
  <si>
    <t>旅游局</t>
  </si>
  <si>
    <t>龙胜温泉采矿权许可延续登记相关费用</t>
  </si>
  <si>
    <t>文新广体旅局</t>
  </si>
  <si>
    <t>民族体育中心塑胶跑道改造项目资金</t>
  </si>
  <si>
    <t>教育局</t>
  </si>
  <si>
    <t>金结小学围墙项目经费</t>
  </si>
  <si>
    <t>公安局</t>
  </si>
  <si>
    <t>龙脊景区公路货运车辆超载治理专项行动工作经费</t>
  </si>
  <si>
    <t>民宗局</t>
  </si>
  <si>
    <t>民族工作经费</t>
  </si>
</sst>
</file>

<file path=xl/styles.xml><?xml version="1.0" encoding="utf-8"?>
<styleSheet xmlns="http://schemas.openxmlformats.org/spreadsheetml/2006/main">
  <numFmts count="13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#,##0.00_ "/>
    <numFmt numFmtId="178" formatCode="0_ "/>
    <numFmt numFmtId="179" formatCode="0.00_ "/>
    <numFmt numFmtId="180" formatCode="#,##0.00_);\(#,##0.00\)"/>
    <numFmt numFmtId="181" formatCode="_ * #,##0.0_ ;_ * \-#,##0.0_ ;_ * &quot;-&quot;??_ ;_ @_ "/>
    <numFmt numFmtId="182" formatCode="#,##0_ "/>
    <numFmt numFmtId="183" formatCode="#,##0_);\(#,##0\)"/>
    <numFmt numFmtId="184" formatCode="_ * #,##0_ ;_ * \-#,##0_ ;_ * &quot;-&quot;??_ ;_ @_ "/>
  </numFmts>
  <fonts count="63">
    <font>
      <sz val="11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b/>
      <sz val="12"/>
      <color theme="1"/>
      <name val="仿宋_GB2312"/>
      <charset val="134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3.5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仿宋_GB2312"/>
      <charset val="134"/>
    </font>
    <font>
      <sz val="16"/>
      <color theme="1"/>
      <name val="仿宋"/>
      <charset val="134"/>
    </font>
    <font>
      <b/>
      <sz val="14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.5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黑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7.5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53" fillId="1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6" fillId="0" borderId="12" applyNumberFormat="0" applyFill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8" fillId="25" borderId="17" applyNumberFormat="0" applyAlignment="0" applyProtection="0">
      <alignment vertical="center"/>
    </xf>
    <xf numFmtId="0" fontId="62" fillId="25" borderId="14" applyNumberFormat="0" applyAlignment="0" applyProtection="0">
      <alignment vertical="center"/>
    </xf>
    <xf numFmtId="0" fontId="49" fillId="9" borderId="11" applyNumberFormat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7" fillId="0" borderId="0">
      <alignment vertical="center"/>
    </xf>
    <xf numFmtId="0" fontId="55" fillId="0" borderId="16" applyNumberFormat="0" applyFill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0" fillId="0" borderId="0">
      <alignment vertical="center"/>
    </xf>
    <xf numFmtId="0" fontId="52" fillId="21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4" fillId="0" borderId="2" xfId="0" applyFont="1" applyBorder="1">
      <alignment vertical="center"/>
    </xf>
    <xf numFmtId="178" fontId="4" fillId="0" borderId="2" xfId="0" applyNumberFormat="1" applyFont="1" applyBorder="1" applyAlignment="1">
      <alignment vertical="center" wrapText="1"/>
    </xf>
    <xf numFmtId="179" fontId="4" fillId="0" borderId="2" xfId="0" applyNumberFormat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4" fillId="0" borderId="0" xfId="0" applyFont="1">
      <alignment vertical="center"/>
    </xf>
    <xf numFmtId="0" fontId="15" fillId="2" borderId="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180" fontId="13" fillId="2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181" fontId="17" fillId="0" borderId="2" xfId="9" applyNumberFormat="1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0" borderId="2" xfId="0" applyFont="1" applyBorder="1">
      <alignment vertical="center"/>
    </xf>
    <xf numFmtId="0" fontId="18" fillId="0" borderId="0" xfId="0" applyFont="1">
      <alignment vertical="center"/>
    </xf>
    <xf numFmtId="182" fontId="18" fillId="0" borderId="2" xfId="0" applyNumberFormat="1" applyFont="1" applyBorder="1">
      <alignment vertical="center"/>
    </xf>
    <xf numFmtId="0" fontId="13" fillId="0" borderId="2" xfId="0" applyFont="1" applyBorder="1" applyAlignment="1">
      <alignment horizontal="left" vertical="center"/>
    </xf>
    <xf numFmtId="181" fontId="17" fillId="0" borderId="2" xfId="9" applyNumberFormat="1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3" fillId="0" borderId="2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182" fontId="13" fillId="0" borderId="2" xfId="0" applyNumberFormat="1" applyFont="1" applyBorder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2" xfId="5" applyFont="1" applyFill="1" applyBorder="1" applyAlignment="1">
      <alignment horizontal="center" vertical="center" wrapText="1"/>
    </xf>
    <xf numFmtId="183" fontId="13" fillId="0" borderId="2" xfId="0" applyNumberFormat="1" applyFont="1" applyBorder="1">
      <alignment vertical="center"/>
    </xf>
    <xf numFmtId="0" fontId="14" fillId="0" borderId="0" xfId="0" applyFont="1" applyAlignment="1">
      <alignment vertical="center" wrapText="1"/>
    </xf>
    <xf numFmtId="0" fontId="0" fillId="0" borderId="0" xfId="0" applyFont="1" applyBorder="1">
      <alignment vertical="center"/>
    </xf>
    <xf numFmtId="0" fontId="19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 wrapText="1"/>
    </xf>
    <xf numFmtId="0" fontId="20" fillId="0" borderId="0" xfId="0" applyFont="1" applyFill="1">
      <alignment vertical="center"/>
    </xf>
    <xf numFmtId="177" fontId="0" fillId="3" borderId="0" xfId="9" applyNumberFormat="1" applyFont="1" applyFill="1" applyAlignment="1">
      <alignment horizontal="right" vertical="center"/>
    </xf>
    <xf numFmtId="177" fontId="0" fillId="3" borderId="0" xfId="9" applyNumberFormat="1" applyFont="1" applyFill="1" applyAlignment="1">
      <alignment horizontal="right" vertical="center" wrapText="1"/>
    </xf>
    <xf numFmtId="0" fontId="0" fillId="0" borderId="0" xfId="0" applyFill="1">
      <alignment vertical="center"/>
    </xf>
    <xf numFmtId="0" fontId="21" fillId="0" borderId="0" xfId="32" applyFont="1" applyFill="1" applyBorder="1" applyAlignment="1">
      <alignment horizontal="center" vertical="center" wrapText="1"/>
    </xf>
    <xf numFmtId="0" fontId="7" fillId="0" borderId="0" xfId="32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/>
    </xf>
    <xf numFmtId="176" fontId="7" fillId="0" borderId="0" xfId="32" applyNumberFormat="1" applyFont="1" applyFill="1" applyBorder="1" applyAlignment="1">
      <alignment horizontal="center" vertical="center" wrapText="1"/>
    </xf>
    <xf numFmtId="0" fontId="22" fillId="0" borderId="2" xfId="32" applyFont="1" applyFill="1" applyBorder="1" applyAlignment="1">
      <alignment horizontal="center" vertical="center" wrapText="1"/>
    </xf>
    <xf numFmtId="43" fontId="23" fillId="0" borderId="2" xfId="15" applyFont="1" applyFill="1" applyBorder="1" applyAlignment="1">
      <alignment horizontal="center" vertical="center" wrapText="1"/>
    </xf>
    <xf numFmtId="0" fontId="24" fillId="0" borderId="2" xfId="32" applyFont="1" applyFill="1" applyBorder="1" applyAlignment="1">
      <alignment horizontal="center" vertical="center" wrapText="1"/>
    </xf>
    <xf numFmtId="184" fontId="23" fillId="0" borderId="2" xfId="9" applyNumberFormat="1" applyFont="1" applyFill="1" applyBorder="1" applyAlignment="1">
      <alignment horizontal="center" vertical="center" wrapText="1"/>
    </xf>
    <xf numFmtId="0" fontId="25" fillId="0" borderId="2" xfId="32" applyFont="1" applyFill="1" applyBorder="1" applyAlignment="1">
      <alignment horizontal="center" vertical="center" wrapText="1"/>
    </xf>
    <xf numFmtId="0" fontId="0" fillId="0" borderId="2" xfId="32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vertical="center" wrapText="1"/>
    </xf>
    <xf numFmtId="177" fontId="7" fillId="0" borderId="2" xfId="15" applyNumberFormat="1" applyFont="1" applyFill="1" applyBorder="1" applyAlignment="1">
      <alignment vertical="center" wrapText="1"/>
    </xf>
    <xf numFmtId="177" fontId="0" fillId="0" borderId="2" xfId="15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0" fontId="26" fillId="3" borderId="2" xfId="32" applyFont="1" applyFill="1" applyBorder="1" applyAlignment="1">
      <alignment horizontal="left" vertical="center" wrapText="1"/>
    </xf>
    <xf numFmtId="0" fontId="27" fillId="0" borderId="2" xfId="5" applyFont="1" applyFill="1" applyBorder="1" applyAlignment="1">
      <alignment vertical="center" wrapText="1"/>
    </xf>
    <xf numFmtId="0" fontId="28" fillId="0" borderId="2" xfId="5" applyFont="1" applyFill="1" applyBorder="1" applyAlignment="1">
      <alignment vertical="center" wrapText="1"/>
    </xf>
    <xf numFmtId="184" fontId="0" fillId="0" borderId="2" xfId="15" applyNumberFormat="1" applyFont="1" applyFill="1" applyBorder="1" applyAlignment="1">
      <alignment vertical="center" wrapText="1"/>
    </xf>
    <xf numFmtId="184" fontId="0" fillId="0" borderId="2" xfId="9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>
      <alignment vertical="center"/>
    </xf>
    <xf numFmtId="0" fontId="27" fillId="3" borderId="2" xfId="0" applyFont="1" applyFill="1" applyBorder="1" applyAlignment="1">
      <alignment vertical="center"/>
    </xf>
    <xf numFmtId="0" fontId="0" fillId="0" borderId="2" xfId="32" applyFont="1" applyFill="1" applyBorder="1" applyAlignment="1">
      <alignment vertical="center" wrapText="1"/>
    </xf>
    <xf numFmtId="0" fontId="0" fillId="0" borderId="2" xfId="5" applyFont="1" applyFill="1" applyBorder="1" applyAlignment="1">
      <alignment vertical="center" wrapText="1"/>
    </xf>
    <xf numFmtId="0" fontId="7" fillId="3" borderId="2" xfId="32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/>
    </xf>
    <xf numFmtId="0" fontId="27" fillId="3" borderId="6" xfId="46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center"/>
    </xf>
    <xf numFmtId="0" fontId="23" fillId="0" borderId="2" xfId="32" applyFont="1" applyFill="1" applyBorder="1" applyAlignment="1">
      <alignment vertical="center" wrapText="1"/>
    </xf>
    <xf numFmtId="0" fontId="23" fillId="0" borderId="2" xfId="5" applyFont="1" applyFill="1" applyBorder="1" applyAlignment="1">
      <alignment vertical="center" wrapText="1"/>
    </xf>
    <xf numFmtId="184" fontId="0" fillId="0" borderId="2" xfId="5" applyNumberFormat="1" applyFont="1" applyFill="1" applyBorder="1" applyAlignment="1">
      <alignment vertical="center" wrapText="1"/>
    </xf>
    <xf numFmtId="184" fontId="23" fillId="0" borderId="2" xfId="15" applyNumberFormat="1" applyFont="1" applyFill="1" applyBorder="1">
      <alignment vertical="center"/>
    </xf>
    <xf numFmtId="184" fontId="23" fillId="0" borderId="2" xfId="15" applyNumberFormat="1" applyFont="1" applyFill="1" applyBorder="1" applyAlignment="1">
      <alignment vertical="center" wrapText="1"/>
    </xf>
    <xf numFmtId="0" fontId="27" fillId="3" borderId="2" xfId="32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vertical="center"/>
    </xf>
    <xf numFmtId="0" fontId="29" fillId="2" borderId="2" xfId="32" applyFont="1" applyFill="1" applyBorder="1" applyAlignment="1">
      <alignment horizontal="left" vertical="center" wrapText="1"/>
    </xf>
    <xf numFmtId="0" fontId="30" fillId="2" borderId="2" xfId="32" applyFont="1" applyFill="1" applyBorder="1" applyAlignment="1">
      <alignment horizontal="left" vertical="center" wrapText="1"/>
    </xf>
    <xf numFmtId="177" fontId="7" fillId="0" borderId="0" xfId="32" applyNumberFormat="1" applyFont="1" applyFill="1" applyAlignment="1">
      <alignment horizontal="center" vertical="center" wrapText="1"/>
    </xf>
    <xf numFmtId="177" fontId="22" fillId="3" borderId="2" xfId="9" applyNumberFormat="1" applyFont="1" applyFill="1" applyBorder="1" applyAlignment="1">
      <alignment horizontal="center" vertical="center" wrapText="1"/>
    </xf>
    <xf numFmtId="177" fontId="31" fillId="3" borderId="2" xfId="9" applyNumberFormat="1" applyFont="1" applyFill="1" applyBorder="1" applyAlignment="1">
      <alignment horizontal="right" vertical="center" wrapText="1"/>
    </xf>
    <xf numFmtId="182" fontId="32" fillId="2" borderId="2" xfId="9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177" fontId="7" fillId="3" borderId="2" xfId="9" applyNumberFormat="1" applyFont="1" applyFill="1" applyBorder="1" applyAlignment="1">
      <alignment vertical="center"/>
    </xf>
    <xf numFmtId="177" fontId="31" fillId="3" borderId="2" xfId="9" applyNumberFormat="1" applyFont="1" applyFill="1" applyBorder="1" applyAlignment="1">
      <alignment horizontal="right" vertical="center"/>
    </xf>
    <xf numFmtId="182" fontId="31" fillId="3" borderId="2" xfId="9" applyNumberFormat="1" applyFont="1" applyFill="1" applyBorder="1" applyAlignment="1">
      <alignment horizontal="right" vertical="center" wrapText="1"/>
    </xf>
    <xf numFmtId="182" fontId="0" fillId="0" borderId="2" xfId="0" applyNumberFormat="1" applyBorder="1" applyAlignment="1">
      <alignment vertical="center" wrapText="1"/>
    </xf>
    <xf numFmtId="177" fontId="7" fillId="0" borderId="2" xfId="0" applyNumberFormat="1" applyFont="1" applyFill="1" applyBorder="1" applyAlignment="1">
      <alignment vertical="center"/>
    </xf>
    <xf numFmtId="184" fontId="0" fillId="0" borderId="2" xfId="9" applyNumberFormat="1" applyFont="1" applyBorder="1" applyAlignment="1">
      <alignment vertical="center" wrapText="1"/>
    </xf>
    <xf numFmtId="179" fontId="0" fillId="0" borderId="2" xfId="9" applyNumberFormat="1" applyFont="1" applyBorder="1" applyAlignment="1">
      <alignment vertical="center" wrapText="1"/>
    </xf>
    <xf numFmtId="0" fontId="19" fillId="0" borderId="2" xfId="32" applyFont="1" applyFill="1" applyBorder="1" applyAlignment="1">
      <alignment horizontal="center" vertical="center" wrapText="1"/>
    </xf>
    <xf numFmtId="184" fontId="19" fillId="0" borderId="2" xfId="15" applyNumberFormat="1" applyFont="1" applyFill="1" applyBorder="1" applyAlignment="1">
      <alignment vertical="center" wrapText="1"/>
    </xf>
    <xf numFmtId="0" fontId="25" fillId="0" borderId="2" xfId="0" applyFont="1" applyFill="1" applyBorder="1" applyAlignment="1"/>
    <xf numFmtId="182" fontId="19" fillId="3" borderId="2" xfId="9" applyNumberFormat="1" applyFont="1" applyFill="1" applyBorder="1" applyAlignment="1">
      <alignment horizontal="right" vertical="center" wrapText="1"/>
    </xf>
    <xf numFmtId="0" fontId="33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35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0" fillId="2" borderId="0" xfId="0" applyFont="1" applyFill="1" applyAlignment="1">
      <alignment vertical="center" wrapText="1"/>
    </xf>
    <xf numFmtId="184" fontId="37" fillId="2" borderId="0" xfId="9" applyNumberFormat="1" applyFont="1" applyFill="1" applyAlignment="1">
      <alignment horizontal="center" vertical="center" wrapText="1"/>
    </xf>
    <xf numFmtId="176" fontId="7" fillId="0" borderId="0" xfId="32" applyNumberFormat="1" applyFont="1" applyFill="1" applyAlignment="1">
      <alignment horizontal="left" vertical="center" wrapText="1"/>
    </xf>
    <xf numFmtId="0" fontId="38" fillId="2" borderId="7" xfId="0" applyFont="1" applyFill="1" applyBorder="1" applyAlignment="1">
      <alignment horizontal="center" vertical="center"/>
    </xf>
    <xf numFmtId="0" fontId="38" fillId="2" borderId="8" xfId="0" applyFont="1" applyFill="1" applyBorder="1" applyAlignment="1">
      <alignment horizontal="center" vertical="center"/>
    </xf>
    <xf numFmtId="0" fontId="38" fillId="2" borderId="9" xfId="0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/>
    </xf>
    <xf numFmtId="0" fontId="38" fillId="2" borderId="3" xfId="0" applyFont="1" applyFill="1" applyBorder="1" applyAlignment="1">
      <alignment horizontal="center" vertical="center"/>
    </xf>
    <xf numFmtId="184" fontId="39" fillId="2" borderId="3" xfId="9" applyNumberFormat="1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184" fontId="39" fillId="2" borderId="2" xfId="9" applyNumberFormat="1" applyFont="1" applyFill="1" applyBorder="1" applyAlignment="1">
      <alignment horizontal="center" vertical="center" wrapText="1"/>
    </xf>
    <xf numFmtId="0" fontId="38" fillId="2" borderId="10" xfId="0" applyFont="1" applyFill="1" applyBorder="1" applyAlignment="1">
      <alignment horizontal="center" vertical="center"/>
    </xf>
    <xf numFmtId="184" fontId="39" fillId="2" borderId="10" xfId="9" applyNumberFormat="1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vertical="center" wrapText="1"/>
    </xf>
    <xf numFmtId="182" fontId="41" fillId="2" borderId="2" xfId="9" applyNumberFormat="1" applyFont="1" applyFill="1" applyBorder="1" applyAlignment="1">
      <alignment horizontal="right" vertical="center" wrapText="1"/>
    </xf>
    <xf numFmtId="184" fontId="41" fillId="2" borderId="2" xfId="9" applyNumberFormat="1" applyFont="1" applyFill="1" applyBorder="1" applyAlignment="1">
      <alignment vertical="center" wrapText="1"/>
    </xf>
    <xf numFmtId="0" fontId="40" fillId="2" borderId="7" xfId="0" applyFont="1" applyFill="1" applyBorder="1" applyAlignment="1">
      <alignment vertical="center" wrapText="1"/>
    </xf>
    <xf numFmtId="182" fontId="34" fillId="2" borderId="2" xfId="0" applyNumberFormat="1" applyFont="1" applyFill="1" applyBorder="1" applyAlignment="1">
      <alignment horizontal="right" vertical="center" wrapText="1"/>
    </xf>
    <xf numFmtId="182" fontId="34" fillId="2" borderId="2" xfId="0" applyNumberFormat="1" applyFont="1" applyFill="1" applyBorder="1" applyAlignment="1">
      <alignment vertical="center" wrapText="1"/>
    </xf>
    <xf numFmtId="182" fontId="41" fillId="2" borderId="2" xfId="0" applyNumberFormat="1" applyFont="1" applyFill="1" applyBorder="1" applyAlignment="1">
      <alignment vertical="center" wrapText="1"/>
    </xf>
    <xf numFmtId="1" fontId="40" fillId="2" borderId="2" xfId="0" applyNumberFormat="1" applyFont="1" applyFill="1" applyBorder="1" applyAlignment="1" applyProtection="1">
      <alignment vertical="center" wrapText="1"/>
      <protection locked="0"/>
    </xf>
    <xf numFmtId="182" fontId="40" fillId="2" borderId="2" xfId="0" applyNumberFormat="1" applyFont="1" applyFill="1" applyBorder="1" applyAlignment="1" applyProtection="1">
      <alignment vertical="center" wrapText="1"/>
      <protection locked="0"/>
    </xf>
    <xf numFmtId="182" fontId="40" fillId="2" borderId="2" xfId="0" applyNumberFormat="1" applyFont="1" applyFill="1" applyBorder="1" applyAlignment="1" applyProtection="1">
      <alignment horizontal="right" vertical="center" wrapText="1"/>
      <protection locked="0"/>
    </xf>
    <xf numFmtId="1" fontId="40" fillId="2" borderId="2" xfId="0" applyNumberFormat="1" applyFont="1" applyFill="1" applyBorder="1" applyAlignment="1" applyProtection="1">
      <alignment horizontal="left" vertical="center" wrapText="1"/>
      <protection locked="0"/>
    </xf>
    <xf numFmtId="182" fontId="40" fillId="2" borderId="2" xfId="0" applyNumberFormat="1" applyFont="1" applyFill="1" applyBorder="1" applyAlignment="1">
      <alignment vertical="center" wrapText="1"/>
    </xf>
    <xf numFmtId="0" fontId="40" fillId="2" borderId="2" xfId="0" applyNumberFormat="1" applyFont="1" applyFill="1" applyBorder="1" applyAlignment="1" applyProtection="1">
      <alignment vertical="center" wrapText="1"/>
      <protection locked="0"/>
    </xf>
    <xf numFmtId="3" fontId="40" fillId="2" borderId="2" xfId="0" applyNumberFormat="1" applyFont="1" applyFill="1" applyBorder="1" applyAlignment="1" applyProtection="1">
      <alignment vertical="center" wrapText="1"/>
    </xf>
    <xf numFmtId="182" fontId="40" fillId="2" borderId="2" xfId="0" applyNumberFormat="1" applyFont="1" applyFill="1" applyBorder="1" applyAlignment="1" applyProtection="1">
      <alignment horizontal="right" vertical="center" wrapText="1"/>
    </xf>
    <xf numFmtId="184" fontId="41" fillId="2" borderId="7" xfId="9" applyNumberFormat="1" applyFont="1" applyFill="1" applyBorder="1" applyAlignment="1">
      <alignment vertical="center" wrapText="1"/>
    </xf>
    <xf numFmtId="184" fontId="41" fillId="2" borderId="2" xfId="9" applyNumberFormat="1" applyFont="1" applyFill="1" applyBorder="1" applyAlignment="1" applyProtection="1">
      <alignment horizontal="left" vertical="center" wrapText="1"/>
      <protection locked="0"/>
    </xf>
    <xf numFmtId="0" fontId="20" fillId="0" borderId="2" xfId="0" applyFont="1" applyFill="1" applyBorder="1" applyAlignment="1" applyProtection="1">
      <alignment vertical="center" wrapText="1"/>
      <protection locked="0"/>
    </xf>
    <xf numFmtId="0" fontId="40" fillId="0" borderId="2" xfId="0" applyFont="1" applyFill="1" applyBorder="1" applyAlignment="1" applyProtection="1">
      <alignment vertical="center" wrapText="1"/>
      <protection locked="0"/>
    </xf>
    <xf numFmtId="0" fontId="42" fillId="0" borderId="2" xfId="0" applyFont="1" applyFill="1" applyBorder="1" applyAlignment="1" applyProtection="1">
      <alignment vertical="center" wrapText="1"/>
      <protection locked="0"/>
    </xf>
    <xf numFmtId="3" fontId="40" fillId="0" borderId="2" xfId="0" applyNumberFormat="1" applyFont="1" applyFill="1" applyBorder="1" applyAlignment="1" applyProtection="1">
      <alignment vertical="center" wrapText="1"/>
      <protection locked="0"/>
    </xf>
    <xf numFmtId="0" fontId="34" fillId="2" borderId="2" xfId="0" applyFont="1" applyFill="1" applyBorder="1" applyAlignment="1">
      <alignment vertical="center" wrapText="1"/>
    </xf>
    <xf numFmtId="0" fontId="41" fillId="2" borderId="2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39" fillId="2" borderId="2" xfId="9" applyNumberFormat="1" applyFont="1" applyFill="1" applyBorder="1" applyAlignment="1">
      <alignment horizontal="center" vertical="center" wrapText="1"/>
    </xf>
    <xf numFmtId="0" fontId="43" fillId="2" borderId="2" xfId="0" applyFont="1" applyFill="1" applyBorder="1" applyAlignment="1">
      <alignment vertical="center" wrapText="1"/>
    </xf>
    <xf numFmtId="14" fontId="34" fillId="2" borderId="2" xfId="0" applyNumberFormat="1" applyFont="1" applyFill="1" applyBorder="1" applyAlignment="1">
      <alignment vertical="center" wrapText="1"/>
    </xf>
    <xf numFmtId="182" fontId="40" fillId="2" borderId="2" xfId="0" applyNumberFormat="1" applyFont="1" applyFill="1" applyBorder="1" applyAlignment="1">
      <alignment horizontal="right" vertical="center" wrapText="1"/>
    </xf>
    <xf numFmtId="1" fontId="35" fillId="2" borderId="2" xfId="0" applyNumberFormat="1" applyFont="1" applyFill="1" applyBorder="1" applyAlignment="1" applyProtection="1">
      <alignment vertical="center" wrapText="1"/>
      <protection locked="0"/>
    </xf>
    <xf numFmtId="0" fontId="35" fillId="2" borderId="2" xfId="0" applyFont="1" applyFill="1" applyBorder="1" applyAlignment="1">
      <alignment vertical="center" wrapText="1"/>
    </xf>
    <xf numFmtId="0" fontId="4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40" fillId="2" borderId="2" xfId="0" applyFont="1" applyFill="1" applyBorder="1" applyAlignment="1">
      <alignment horizontal="center" vertical="center" wrapText="1"/>
    </xf>
    <xf numFmtId="0" fontId="41" fillId="2" borderId="0" xfId="0" applyFont="1" applyFill="1" applyAlignment="1">
      <alignment vertical="center"/>
    </xf>
    <xf numFmtId="0" fontId="34" fillId="2" borderId="0" xfId="0" applyFont="1" applyFill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基金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千位分隔_支出项目录入表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常规 55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1"/>
  <sheetViews>
    <sheetView tabSelected="1" workbookViewId="0">
      <pane xSplit="1" ySplit="6" topLeftCell="B20" activePane="bottomRight" state="frozen"/>
      <selection/>
      <selection pane="topRight"/>
      <selection pane="bottomLeft"/>
      <selection pane="bottomRight" activeCell="M10" sqref="M10"/>
    </sheetView>
  </sheetViews>
  <sheetFormatPr defaultColWidth="9" defaultRowHeight="13.5"/>
  <cols>
    <col min="1" max="1" width="32.25" style="131" customWidth="1"/>
    <col min="2" max="2" width="7.25" style="131" customWidth="1"/>
    <col min="3" max="3" width="6.875" style="131" customWidth="1"/>
    <col min="4" max="4" width="7.025" style="131" customWidth="1"/>
    <col min="5" max="5" width="21" style="131" customWidth="1"/>
    <col min="6" max="6" width="7" style="131" customWidth="1"/>
    <col min="7" max="7" width="7.375" style="131" customWidth="1"/>
    <col min="8" max="8" width="6.375" style="132" customWidth="1"/>
    <col min="9" max="9" width="5.75" style="131" customWidth="1"/>
    <col min="10" max="10" width="6.75" style="131" customWidth="1"/>
    <col min="11" max="11" width="6.125" style="131" customWidth="1"/>
    <col min="12" max="12" width="7" style="131" customWidth="1"/>
    <col min="13" max="13" width="25.3916666666667" style="133" customWidth="1"/>
    <col min="14" max="16384" width="9" style="131"/>
  </cols>
  <sheetData>
    <row r="1" ht="14.25" spans="1:1">
      <c r="A1" s="128" t="s">
        <v>0</v>
      </c>
    </row>
    <row r="2" s="128" customFormat="1" ht="19" customHeight="1" spans="1:13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3" ht="14.25" spans="1:14">
      <c r="A3" s="74" t="s">
        <v>2</v>
      </c>
      <c r="B3" s="75"/>
      <c r="C3" s="75"/>
      <c r="D3" s="75"/>
      <c r="E3" s="75"/>
      <c r="F3" s="135" t="s">
        <v>3</v>
      </c>
      <c r="G3" s="135"/>
      <c r="H3" s="135"/>
      <c r="I3" s="135"/>
      <c r="J3" s="135"/>
      <c r="K3" s="135"/>
      <c r="M3" s="169" t="s">
        <v>4</v>
      </c>
      <c r="N3" s="170"/>
    </row>
    <row r="4" s="129" customFormat="1" ht="11.25" spans="1:13">
      <c r="A4" s="136" t="s">
        <v>5</v>
      </c>
      <c r="B4" s="137"/>
      <c r="C4" s="137"/>
      <c r="D4" s="138"/>
      <c r="E4" s="139" t="s">
        <v>6</v>
      </c>
      <c r="F4" s="139"/>
      <c r="G4" s="139"/>
      <c r="H4" s="139"/>
      <c r="I4" s="139"/>
      <c r="J4" s="139"/>
      <c r="K4" s="139"/>
      <c r="L4" s="139"/>
      <c r="M4" s="171" t="s">
        <v>7</v>
      </c>
    </row>
    <row r="5" s="129" customFormat="1" ht="11.25" spans="1:13">
      <c r="A5" s="140" t="s">
        <v>8</v>
      </c>
      <c r="B5" s="141" t="s">
        <v>9</v>
      </c>
      <c r="C5" s="141" t="s">
        <v>10</v>
      </c>
      <c r="D5" s="141" t="s">
        <v>11</v>
      </c>
      <c r="E5" s="139" t="s">
        <v>8</v>
      </c>
      <c r="F5" s="142" t="s">
        <v>12</v>
      </c>
      <c r="G5" s="143" t="s">
        <v>10</v>
      </c>
      <c r="H5" s="143" t="s">
        <v>13</v>
      </c>
      <c r="I5" s="143"/>
      <c r="J5" s="143"/>
      <c r="K5" s="143"/>
      <c r="L5" s="143"/>
      <c r="M5" s="171"/>
    </row>
    <row r="6" s="129" customFormat="1" ht="33.75" spans="1:13">
      <c r="A6" s="144"/>
      <c r="B6" s="145"/>
      <c r="C6" s="145"/>
      <c r="D6" s="145"/>
      <c r="E6" s="139"/>
      <c r="F6" s="142"/>
      <c r="G6" s="143"/>
      <c r="H6" s="143" t="s">
        <v>14</v>
      </c>
      <c r="I6" s="143" t="s">
        <v>15</v>
      </c>
      <c r="J6" s="143" t="s">
        <v>16</v>
      </c>
      <c r="K6" s="143" t="s">
        <v>17</v>
      </c>
      <c r="L6" s="143" t="s">
        <v>18</v>
      </c>
      <c r="M6" s="171"/>
    </row>
    <row r="7" s="129" customFormat="1" ht="388" customHeight="1" spans="1:13">
      <c r="A7" s="146" t="s">
        <v>19</v>
      </c>
      <c r="B7" s="147">
        <v>28177</v>
      </c>
      <c r="C7" s="147">
        <f>B7+D7</f>
        <v>24200</v>
      </c>
      <c r="D7" s="148">
        <f>-3977</f>
        <v>-3977</v>
      </c>
      <c r="E7" s="149" t="s">
        <v>20</v>
      </c>
      <c r="F7" s="150">
        <v>37326</v>
      </c>
      <c r="G7" s="151">
        <f>F7+H7</f>
        <v>43762</v>
      </c>
      <c r="H7" s="152">
        <f>I7+J7+K7+L7</f>
        <v>6436</v>
      </c>
      <c r="I7" s="151"/>
      <c r="J7" s="157">
        <f>52+14+80</f>
        <v>146</v>
      </c>
      <c r="K7" s="151">
        <f>10+200+25+12+3868-280+152+76+500-383-458</f>
        <v>3722</v>
      </c>
      <c r="L7" s="151">
        <f>-3977+2123+4422</f>
        <v>2568</v>
      </c>
      <c r="M7" s="172" t="s">
        <v>21</v>
      </c>
    </row>
    <row r="8" s="129" customFormat="1" ht="11.25" spans="1:13">
      <c r="A8" s="153" t="s">
        <v>22</v>
      </c>
      <c r="B8" s="154">
        <f>B9+B79+B80+B85+B86+B87</f>
        <v>110739</v>
      </c>
      <c r="C8" s="154">
        <f>C9+C79+C80+C85+C86+C87</f>
        <v>194735</v>
      </c>
      <c r="D8" s="154">
        <f>D9+D79+D80+D85+D86+D87</f>
        <v>83996</v>
      </c>
      <c r="E8" s="149" t="s">
        <v>23</v>
      </c>
      <c r="F8" s="150"/>
      <c r="G8" s="151">
        <f t="shared" ref="G8:G32" si="0">F8+H8</f>
        <v>0</v>
      </c>
      <c r="H8" s="152">
        <f t="shared" ref="H8:H32" si="1">I8+J8+K8+L8</f>
        <v>0</v>
      </c>
      <c r="I8" s="151"/>
      <c r="J8" s="157"/>
      <c r="K8" s="151"/>
      <c r="L8" s="151"/>
      <c r="M8" s="167"/>
    </row>
    <row r="9" s="129" customFormat="1" ht="11.25" spans="1:13">
      <c r="A9" s="153" t="s">
        <v>24</v>
      </c>
      <c r="B9" s="147">
        <f>B10+B17+B57</f>
        <v>108632</v>
      </c>
      <c r="C9" s="147">
        <f t="shared" ref="C9:C16" si="2">B9+D9</f>
        <v>167569</v>
      </c>
      <c r="D9" s="155">
        <f>D10+D17+D57</f>
        <v>58937</v>
      </c>
      <c r="E9" s="149" t="s">
        <v>25</v>
      </c>
      <c r="F9" s="150"/>
      <c r="G9" s="151">
        <f t="shared" si="0"/>
        <v>0</v>
      </c>
      <c r="H9" s="152">
        <f t="shared" si="1"/>
        <v>0</v>
      </c>
      <c r="I9" s="151"/>
      <c r="J9" s="157"/>
      <c r="K9" s="151"/>
      <c r="L9" s="151"/>
      <c r="M9" s="167"/>
    </row>
    <row r="10" s="129" customFormat="1" ht="108" customHeight="1" spans="1:13">
      <c r="A10" s="153" t="s">
        <v>26</v>
      </c>
      <c r="B10" s="155">
        <f>SUM(B11:B16)</f>
        <v>2899</v>
      </c>
      <c r="C10" s="147">
        <f t="shared" si="2"/>
        <v>2899</v>
      </c>
      <c r="D10" s="155">
        <f>SUM(D11:D16)</f>
        <v>0</v>
      </c>
      <c r="E10" s="149" t="s">
        <v>27</v>
      </c>
      <c r="F10" s="150">
        <v>8844</v>
      </c>
      <c r="G10" s="151">
        <f t="shared" si="0"/>
        <v>11158</v>
      </c>
      <c r="H10" s="152">
        <f t="shared" si="1"/>
        <v>2314</v>
      </c>
      <c r="I10" s="151">
        <v>100</v>
      </c>
      <c r="J10" s="157">
        <v>1200</v>
      </c>
      <c r="K10" s="151">
        <f>330+200+17</f>
        <v>547</v>
      </c>
      <c r="L10" s="151">
        <v>467</v>
      </c>
      <c r="M10" s="167" t="s">
        <v>28</v>
      </c>
    </row>
    <row r="11" s="129" customFormat="1" ht="60" customHeight="1" spans="1:13">
      <c r="A11" s="153" t="s">
        <v>29</v>
      </c>
      <c r="B11" s="154">
        <v>586</v>
      </c>
      <c r="C11" s="147">
        <f t="shared" si="2"/>
        <v>586</v>
      </c>
      <c r="D11" s="153"/>
      <c r="E11" s="149" t="s">
        <v>30</v>
      </c>
      <c r="F11" s="150">
        <v>26596</v>
      </c>
      <c r="G11" s="151">
        <f t="shared" si="0"/>
        <v>34446</v>
      </c>
      <c r="H11" s="152">
        <f t="shared" si="1"/>
        <v>7850</v>
      </c>
      <c r="I11" s="151"/>
      <c r="J11" s="157">
        <f>1516+28</f>
        <v>1544</v>
      </c>
      <c r="K11" s="151">
        <f>700+2889+2682</f>
        <v>6271</v>
      </c>
      <c r="L11" s="151">
        <v>35</v>
      </c>
      <c r="M11" s="167" t="s">
        <v>31</v>
      </c>
    </row>
    <row r="12" s="129" customFormat="1" ht="11.25" spans="1:13">
      <c r="A12" s="153" t="s">
        <v>32</v>
      </c>
      <c r="B12" s="154">
        <v>138</v>
      </c>
      <c r="C12" s="147">
        <f t="shared" si="2"/>
        <v>138</v>
      </c>
      <c r="D12" s="153"/>
      <c r="E12" s="149" t="s">
        <v>33</v>
      </c>
      <c r="F12" s="150">
        <v>293</v>
      </c>
      <c r="G12" s="151">
        <f t="shared" si="0"/>
        <v>303</v>
      </c>
      <c r="H12" s="152">
        <f t="shared" si="1"/>
        <v>10</v>
      </c>
      <c r="I12" s="151"/>
      <c r="J12" s="157">
        <v>10</v>
      </c>
      <c r="K12" s="151"/>
      <c r="L12" s="151"/>
      <c r="M12" s="167" t="s">
        <v>34</v>
      </c>
    </row>
    <row r="13" s="129" customFormat="1" ht="22.5" spans="1:13">
      <c r="A13" s="153" t="s">
        <v>35</v>
      </c>
      <c r="B13" s="154">
        <v>1420</v>
      </c>
      <c r="C13" s="147">
        <f t="shared" si="2"/>
        <v>1420</v>
      </c>
      <c r="D13" s="153"/>
      <c r="E13" s="149" t="s">
        <v>36</v>
      </c>
      <c r="F13" s="150">
        <v>786</v>
      </c>
      <c r="G13" s="151">
        <f t="shared" si="0"/>
        <v>1528</v>
      </c>
      <c r="H13" s="152">
        <f t="shared" si="1"/>
        <v>742</v>
      </c>
      <c r="I13" s="151"/>
      <c r="J13" s="157">
        <f>67+30+20+32+500</f>
        <v>649</v>
      </c>
      <c r="K13" s="151">
        <f>1+92</f>
        <v>93</v>
      </c>
      <c r="L13" s="151"/>
      <c r="M13" s="167" t="s">
        <v>37</v>
      </c>
    </row>
    <row r="14" s="129" customFormat="1" ht="66" customHeight="1" spans="1:13">
      <c r="A14" s="153" t="s">
        <v>38</v>
      </c>
      <c r="B14" s="154"/>
      <c r="C14" s="147">
        <f t="shared" si="2"/>
        <v>0</v>
      </c>
      <c r="D14" s="153"/>
      <c r="E14" s="149" t="s">
        <v>39</v>
      </c>
      <c r="F14" s="150">
        <v>11452</v>
      </c>
      <c r="G14" s="151">
        <f t="shared" si="0"/>
        <v>16174</v>
      </c>
      <c r="H14" s="152">
        <f t="shared" si="1"/>
        <v>4722</v>
      </c>
      <c r="I14" s="151">
        <v>200</v>
      </c>
      <c r="J14" s="157">
        <f>1202+60-2</f>
        <v>1260</v>
      </c>
      <c r="K14" s="151">
        <f>23+199-12+9+576+220+63+220+22+458+228</f>
        <v>2006</v>
      </c>
      <c r="L14" s="151">
        <v>1256</v>
      </c>
      <c r="M14" s="167" t="s">
        <v>40</v>
      </c>
    </row>
    <row r="15" s="129" customFormat="1" ht="49" customHeight="1" spans="1:13">
      <c r="A15" s="156" t="s">
        <v>41</v>
      </c>
      <c r="B15" s="154">
        <v>-545</v>
      </c>
      <c r="C15" s="147">
        <f t="shared" si="2"/>
        <v>-545</v>
      </c>
      <c r="D15" s="153"/>
      <c r="E15" s="149" t="s">
        <v>42</v>
      </c>
      <c r="F15" s="150">
        <v>17391</v>
      </c>
      <c r="G15" s="151">
        <f t="shared" si="0"/>
        <v>20665</v>
      </c>
      <c r="H15" s="152">
        <f t="shared" si="1"/>
        <v>3274</v>
      </c>
      <c r="I15" s="151">
        <v>200</v>
      </c>
      <c r="J15" s="157">
        <f>62+600+18</f>
        <v>680</v>
      </c>
      <c r="K15" s="151">
        <f>953+161+170+631+369-9+148-159+400+2-272</f>
        <v>2394</v>
      </c>
      <c r="L15" s="151"/>
      <c r="M15" s="167" t="s">
        <v>43</v>
      </c>
    </row>
    <row r="16" s="129" customFormat="1" ht="22.5" spans="1:13">
      <c r="A16" s="153" t="s">
        <v>44</v>
      </c>
      <c r="B16" s="154">
        <v>1300</v>
      </c>
      <c r="C16" s="147">
        <f t="shared" si="2"/>
        <v>1300</v>
      </c>
      <c r="D16" s="153"/>
      <c r="E16" s="149" t="s">
        <v>45</v>
      </c>
      <c r="F16" s="150">
        <v>871</v>
      </c>
      <c r="G16" s="151">
        <f t="shared" si="0"/>
        <v>4332</v>
      </c>
      <c r="H16" s="152">
        <f t="shared" si="1"/>
        <v>3461</v>
      </c>
      <c r="I16" s="151"/>
      <c r="J16" s="157">
        <f>1200+12+2200+40</f>
        <v>3452</v>
      </c>
      <c r="K16" s="151">
        <v>9</v>
      </c>
      <c r="L16" s="151"/>
      <c r="M16" s="173" t="s">
        <v>46</v>
      </c>
    </row>
    <row r="17" s="129" customFormat="1" ht="339" customHeight="1" spans="1:13">
      <c r="A17" s="153" t="s">
        <v>47</v>
      </c>
      <c r="B17" s="155">
        <f>SUM(B18:B56)</f>
        <v>89374</v>
      </c>
      <c r="C17" s="155">
        <f>SUM(C18:C56)</f>
        <v>127067</v>
      </c>
      <c r="D17" s="155">
        <f>SUM(D18:D56)</f>
        <v>37693</v>
      </c>
      <c r="E17" s="149" t="s">
        <v>48</v>
      </c>
      <c r="F17" s="150">
        <v>4441</v>
      </c>
      <c r="G17" s="151">
        <f t="shared" si="0"/>
        <v>21843</v>
      </c>
      <c r="H17" s="152">
        <f t="shared" si="1"/>
        <v>17402</v>
      </c>
      <c r="I17" s="151">
        <v>2700</v>
      </c>
      <c r="J17" s="157">
        <f>2267+651+150+2+289</f>
        <v>3359</v>
      </c>
      <c r="K17" s="151">
        <f>513+40+1132+280-152</f>
        <v>1813</v>
      </c>
      <c r="L17" s="151">
        <f>6389+2000+66+1000+75</f>
        <v>9530</v>
      </c>
      <c r="M17" s="167" t="s">
        <v>49</v>
      </c>
    </row>
    <row r="18" s="129" customFormat="1" ht="77" customHeight="1" spans="1:13">
      <c r="A18" s="153" t="s">
        <v>50</v>
      </c>
      <c r="B18" s="157">
        <v>1151</v>
      </c>
      <c r="C18" s="147">
        <f t="shared" ref="C18:C34" si="3">B18+D18</f>
        <v>1151</v>
      </c>
      <c r="D18" s="157"/>
      <c r="E18" s="149" t="s">
        <v>51</v>
      </c>
      <c r="F18" s="150">
        <v>17893</v>
      </c>
      <c r="G18" s="151">
        <f t="shared" si="0"/>
        <v>48787</v>
      </c>
      <c r="H18" s="152">
        <f t="shared" si="1"/>
        <v>30894</v>
      </c>
      <c r="I18" s="151">
        <v>4159</v>
      </c>
      <c r="J18" s="157">
        <f>502+2336+117+36+1390+1204+9+220+98+30+134+20+1000+20+50</f>
        <v>7166</v>
      </c>
      <c r="K18" s="151">
        <f>115+4417+235+205+1002+19+996+602+4162+3033+590+1243+2700+250</f>
        <v>19569</v>
      </c>
      <c r="L18" s="151"/>
      <c r="M18" s="167" t="s">
        <v>52</v>
      </c>
    </row>
    <row r="19" s="129" customFormat="1" ht="11.25" spans="1:13">
      <c r="A19" s="158" t="s">
        <v>53</v>
      </c>
      <c r="B19" s="157">
        <v>32925</v>
      </c>
      <c r="C19" s="147">
        <f t="shared" si="3"/>
        <v>31831</v>
      </c>
      <c r="D19" s="157">
        <v>-1094</v>
      </c>
      <c r="E19" s="149" t="s">
        <v>54</v>
      </c>
      <c r="F19" s="150">
        <v>3118</v>
      </c>
      <c r="G19" s="151">
        <f t="shared" si="0"/>
        <v>3507</v>
      </c>
      <c r="H19" s="152">
        <f t="shared" si="1"/>
        <v>389</v>
      </c>
      <c r="I19" s="151"/>
      <c r="J19" s="157">
        <f>380+9</f>
        <v>389</v>
      </c>
      <c r="K19" s="151"/>
      <c r="L19" s="151"/>
      <c r="M19" s="167" t="s">
        <v>55</v>
      </c>
    </row>
    <row r="20" s="129" customFormat="1" ht="11.25" spans="1:13">
      <c r="A20" s="159" t="s">
        <v>56</v>
      </c>
      <c r="B20" s="157">
        <v>5215</v>
      </c>
      <c r="C20" s="147">
        <f t="shared" si="3"/>
        <v>4688</v>
      </c>
      <c r="D20" s="157">
        <v>-527</v>
      </c>
      <c r="E20" s="149" t="s">
        <v>57</v>
      </c>
      <c r="F20" s="150">
        <v>10</v>
      </c>
      <c r="G20" s="151">
        <f t="shared" si="0"/>
        <v>160</v>
      </c>
      <c r="H20" s="152">
        <f t="shared" si="1"/>
        <v>150</v>
      </c>
      <c r="I20" s="151"/>
      <c r="J20" s="157">
        <v>150</v>
      </c>
      <c r="K20" s="151"/>
      <c r="L20" s="151"/>
      <c r="M20" s="167" t="s">
        <v>58</v>
      </c>
    </row>
    <row r="21" s="129" customFormat="1" ht="11.25" spans="1:13">
      <c r="A21" s="159" t="s">
        <v>59</v>
      </c>
      <c r="B21" s="157">
        <v>689</v>
      </c>
      <c r="C21" s="147">
        <f t="shared" si="3"/>
        <v>7519</v>
      </c>
      <c r="D21" s="157">
        <f>5000+148+1+1295+76-190+500</f>
        <v>6830</v>
      </c>
      <c r="E21" s="149" t="s">
        <v>60</v>
      </c>
      <c r="F21" s="150">
        <v>87</v>
      </c>
      <c r="G21" s="151">
        <f t="shared" si="0"/>
        <v>102</v>
      </c>
      <c r="H21" s="152">
        <f t="shared" si="1"/>
        <v>15</v>
      </c>
      <c r="I21" s="151"/>
      <c r="J21" s="157">
        <v>15</v>
      </c>
      <c r="K21" s="151"/>
      <c r="L21" s="151"/>
      <c r="M21" s="167" t="s">
        <v>61</v>
      </c>
    </row>
    <row r="22" s="129" customFormat="1" ht="11.25" spans="1:13">
      <c r="A22" s="159" t="s">
        <v>62</v>
      </c>
      <c r="B22" s="157"/>
      <c r="C22" s="147">
        <f t="shared" si="3"/>
        <v>0</v>
      </c>
      <c r="D22" s="157"/>
      <c r="E22" s="149" t="s">
        <v>63</v>
      </c>
      <c r="F22" s="150"/>
      <c r="G22" s="151">
        <f t="shared" si="0"/>
        <v>30</v>
      </c>
      <c r="H22" s="152">
        <f t="shared" si="1"/>
        <v>30</v>
      </c>
      <c r="I22" s="151"/>
      <c r="J22" s="157">
        <v>30</v>
      </c>
      <c r="K22" s="151"/>
      <c r="L22" s="151"/>
      <c r="M22" s="167" t="s">
        <v>64</v>
      </c>
    </row>
    <row r="23" s="129" customFormat="1" ht="11.25" spans="1:13">
      <c r="A23" s="159" t="s">
        <v>65</v>
      </c>
      <c r="B23" s="157"/>
      <c r="C23" s="147">
        <f t="shared" si="3"/>
        <v>0</v>
      </c>
      <c r="D23" s="157"/>
      <c r="E23" s="149" t="s">
        <v>66</v>
      </c>
      <c r="F23" s="150"/>
      <c r="G23" s="151">
        <f t="shared" si="0"/>
        <v>0</v>
      </c>
      <c r="H23" s="152">
        <f t="shared" si="1"/>
        <v>0</v>
      </c>
      <c r="I23" s="151"/>
      <c r="J23" s="157"/>
      <c r="K23" s="151"/>
      <c r="L23" s="151"/>
      <c r="M23" s="167"/>
    </row>
    <row r="24" s="129" customFormat="1" ht="22.5" spans="1:13">
      <c r="A24" s="159" t="s">
        <v>67</v>
      </c>
      <c r="B24" s="157">
        <v>209</v>
      </c>
      <c r="C24" s="147">
        <f t="shared" si="3"/>
        <v>209</v>
      </c>
      <c r="D24" s="157"/>
      <c r="E24" s="149" t="s">
        <v>68</v>
      </c>
      <c r="F24" s="150">
        <v>12</v>
      </c>
      <c r="G24" s="151">
        <f t="shared" si="0"/>
        <v>157</v>
      </c>
      <c r="H24" s="152">
        <f t="shared" si="1"/>
        <v>145</v>
      </c>
      <c r="I24" s="151"/>
      <c r="J24" s="151">
        <f>8+126</f>
        <v>134</v>
      </c>
      <c r="K24" s="151">
        <v>11</v>
      </c>
      <c r="L24" s="151"/>
      <c r="M24" s="167" t="s">
        <v>69</v>
      </c>
    </row>
    <row r="25" s="129" customFormat="1" ht="22.5" spans="1:13">
      <c r="A25" s="159" t="s">
        <v>70</v>
      </c>
      <c r="B25" s="157">
        <v>1116</v>
      </c>
      <c r="C25" s="147">
        <f t="shared" si="3"/>
        <v>1316</v>
      </c>
      <c r="D25" s="157">
        <v>200</v>
      </c>
      <c r="E25" s="149" t="s">
        <v>71</v>
      </c>
      <c r="F25" s="150">
        <v>165</v>
      </c>
      <c r="G25" s="151">
        <f t="shared" si="0"/>
        <v>1105</v>
      </c>
      <c r="H25" s="152">
        <f t="shared" si="1"/>
        <v>940</v>
      </c>
      <c r="I25" s="151"/>
      <c r="J25" s="151">
        <f>9+4</f>
        <v>13</v>
      </c>
      <c r="K25" s="151">
        <f>-42+969</f>
        <v>927</v>
      </c>
      <c r="L25" s="151"/>
      <c r="M25" s="167" t="s">
        <v>72</v>
      </c>
    </row>
    <row r="26" s="129" customFormat="1" ht="11.25" spans="1:13">
      <c r="A26" s="159" t="s">
        <v>73</v>
      </c>
      <c r="B26" s="157">
        <v>0</v>
      </c>
      <c r="C26" s="147">
        <f t="shared" si="3"/>
        <v>700</v>
      </c>
      <c r="D26" s="157">
        <v>700</v>
      </c>
      <c r="E26" s="149" t="s">
        <v>74</v>
      </c>
      <c r="F26" s="150">
        <v>194</v>
      </c>
      <c r="G26" s="151">
        <f t="shared" si="0"/>
        <v>210</v>
      </c>
      <c r="H26" s="152">
        <f t="shared" si="1"/>
        <v>16</v>
      </c>
      <c r="I26" s="151"/>
      <c r="J26" s="151"/>
      <c r="K26" s="151">
        <v>16</v>
      </c>
      <c r="L26" s="151"/>
      <c r="M26" s="167" t="s">
        <v>75</v>
      </c>
    </row>
    <row r="27" s="129" customFormat="1" ht="22.5" spans="1:13">
      <c r="A27" s="159" t="s">
        <v>76</v>
      </c>
      <c r="B27" s="157">
        <v>4219</v>
      </c>
      <c r="C27" s="147">
        <f t="shared" si="3"/>
        <v>4667</v>
      </c>
      <c r="D27" s="157">
        <f>220+228</f>
        <v>448</v>
      </c>
      <c r="E27" s="149" t="s">
        <v>77</v>
      </c>
      <c r="F27" s="150">
        <v>112</v>
      </c>
      <c r="G27" s="151">
        <f t="shared" si="0"/>
        <v>1474</v>
      </c>
      <c r="H27" s="152">
        <f t="shared" si="1"/>
        <v>1362</v>
      </c>
      <c r="I27" s="151"/>
      <c r="J27" s="151">
        <f>537+10+500</f>
        <v>1047</v>
      </c>
      <c r="K27" s="151">
        <f>20+180+105+10</f>
        <v>315</v>
      </c>
      <c r="L27" s="151"/>
      <c r="M27" s="167" t="s">
        <v>78</v>
      </c>
    </row>
    <row r="28" s="129" customFormat="1" ht="11.25" spans="1:13">
      <c r="A28" s="158" t="s">
        <v>79</v>
      </c>
      <c r="B28" s="157">
        <v>6852</v>
      </c>
      <c r="C28" s="147">
        <f t="shared" si="3"/>
        <v>7544</v>
      </c>
      <c r="D28" s="157">
        <f>953+170-159-272</f>
        <v>692</v>
      </c>
      <c r="E28" s="149" t="s">
        <v>80</v>
      </c>
      <c r="F28" s="150">
        <v>2168</v>
      </c>
      <c r="G28" s="151">
        <f t="shared" si="0"/>
        <v>2168</v>
      </c>
      <c r="H28" s="152">
        <f t="shared" si="1"/>
        <v>0</v>
      </c>
      <c r="I28" s="151"/>
      <c r="J28" s="151"/>
      <c r="K28" s="151"/>
      <c r="L28" s="151"/>
      <c r="M28" s="167"/>
    </row>
    <row r="29" s="129" customFormat="1" ht="11.25" spans="1:13">
      <c r="A29" s="159" t="s">
        <v>81</v>
      </c>
      <c r="B29" s="157">
        <v>0</v>
      </c>
      <c r="C29" s="147">
        <f t="shared" si="3"/>
        <v>0</v>
      </c>
      <c r="D29" s="157"/>
      <c r="E29" s="149" t="s">
        <v>82</v>
      </c>
      <c r="F29" s="150">
        <v>2520</v>
      </c>
      <c r="G29" s="151">
        <f t="shared" si="0"/>
        <v>3000</v>
      </c>
      <c r="H29" s="152">
        <f t="shared" si="1"/>
        <v>480</v>
      </c>
      <c r="I29" s="151"/>
      <c r="J29" s="151"/>
      <c r="K29" s="151"/>
      <c r="L29" s="151">
        <f>260+120+100</f>
        <v>480</v>
      </c>
      <c r="M29" s="167" t="s">
        <v>83</v>
      </c>
    </row>
    <row r="30" s="129" customFormat="1" ht="11.25" spans="1:13">
      <c r="A30" s="159" t="s">
        <v>84</v>
      </c>
      <c r="B30" s="157">
        <v>194</v>
      </c>
      <c r="C30" s="147">
        <f t="shared" si="3"/>
        <v>210</v>
      </c>
      <c r="D30" s="157">
        <v>16</v>
      </c>
      <c r="E30" s="149" t="s">
        <v>85</v>
      </c>
      <c r="F30" s="150">
        <v>25</v>
      </c>
      <c r="G30" s="151">
        <f t="shared" si="0"/>
        <v>25</v>
      </c>
      <c r="H30" s="152">
        <f t="shared" si="1"/>
        <v>0</v>
      </c>
      <c r="I30" s="151"/>
      <c r="J30" s="151"/>
      <c r="K30" s="151"/>
      <c r="L30" s="151"/>
      <c r="M30" s="167"/>
    </row>
    <row r="31" s="129" customFormat="1" ht="64" customHeight="1" spans="1:13">
      <c r="A31" s="159" t="s">
        <v>86</v>
      </c>
      <c r="B31" s="157">
        <v>5314</v>
      </c>
      <c r="C31" s="147">
        <f t="shared" si="3"/>
        <v>8014</v>
      </c>
      <c r="D31" s="157">
        <v>2700</v>
      </c>
      <c r="E31" s="149" t="s">
        <v>87</v>
      </c>
      <c r="F31" s="150">
        <v>4009</v>
      </c>
      <c r="G31" s="151">
        <f t="shared" si="0"/>
        <v>1241</v>
      </c>
      <c r="H31" s="152">
        <f t="shared" si="1"/>
        <v>-2768</v>
      </c>
      <c r="I31" s="151"/>
      <c r="J31" s="151"/>
      <c r="K31" s="151"/>
      <c r="L31" s="151">
        <f>-25-2000-75-325-218-57-300+17+215</f>
        <v>-2768</v>
      </c>
      <c r="M31" s="167" t="s">
        <v>88</v>
      </c>
    </row>
    <row r="32" s="129" customFormat="1" ht="11.25" spans="1:13">
      <c r="A32" s="159" t="s">
        <v>89</v>
      </c>
      <c r="B32" s="157">
        <v>9841</v>
      </c>
      <c r="C32" s="147">
        <f t="shared" si="3"/>
        <v>9841</v>
      </c>
      <c r="D32" s="157"/>
      <c r="E32" s="148" t="s">
        <v>90</v>
      </c>
      <c r="F32" s="160">
        <f>SUM(F7:F31)</f>
        <v>138313</v>
      </c>
      <c r="G32" s="151">
        <f t="shared" si="0"/>
        <v>216177</v>
      </c>
      <c r="H32" s="152">
        <f t="shared" si="1"/>
        <v>77864</v>
      </c>
      <c r="I32" s="160">
        <f>SUM(I7:I31)</f>
        <v>7359</v>
      </c>
      <c r="J32" s="160">
        <f>SUM(J7:J31)</f>
        <v>21244</v>
      </c>
      <c r="K32" s="160">
        <f>SUM(K7:K31)</f>
        <v>37693</v>
      </c>
      <c r="L32" s="160">
        <f>SUM(L7:L31)</f>
        <v>11568</v>
      </c>
      <c r="M32" s="167"/>
    </row>
    <row r="33" s="129" customFormat="1" ht="11.25" spans="1:13">
      <c r="A33" s="159" t="s">
        <v>91</v>
      </c>
      <c r="B33" s="157">
        <v>639</v>
      </c>
      <c r="C33" s="147">
        <f t="shared" si="3"/>
        <v>1152</v>
      </c>
      <c r="D33" s="157">
        <v>513</v>
      </c>
      <c r="E33" s="161" t="s">
        <v>92</v>
      </c>
      <c r="F33" s="155">
        <f>F34+F37</f>
        <v>603</v>
      </c>
      <c r="G33" s="155">
        <f t="shared" ref="G33:L33" si="4">G34+G37</f>
        <v>2758</v>
      </c>
      <c r="H33" s="155">
        <f t="shared" si="4"/>
        <v>2155</v>
      </c>
      <c r="I33" s="155">
        <f t="shared" si="4"/>
        <v>1700</v>
      </c>
      <c r="J33" s="155">
        <f t="shared" si="4"/>
        <v>0</v>
      </c>
      <c r="K33" s="155">
        <f t="shared" si="4"/>
        <v>0</v>
      </c>
      <c r="L33" s="155">
        <f t="shared" si="4"/>
        <v>455</v>
      </c>
      <c r="M33" s="167"/>
    </row>
    <row r="34" s="129" customFormat="1" ht="11.25" spans="1:13">
      <c r="A34" s="159" t="s">
        <v>93</v>
      </c>
      <c r="B34" s="157">
        <v>6604</v>
      </c>
      <c r="C34" s="147">
        <f t="shared" si="3"/>
        <v>8032</v>
      </c>
      <c r="D34" s="157">
        <v>1428</v>
      </c>
      <c r="E34" s="162" t="s">
        <v>94</v>
      </c>
      <c r="F34" s="160">
        <v>368</v>
      </c>
      <c r="G34" s="151">
        <f t="shared" ref="G34:G37" si="5">F34+H34</f>
        <v>368</v>
      </c>
      <c r="H34" s="152">
        <f t="shared" ref="H34:H37" si="6">I34+J34+K34+L34</f>
        <v>0</v>
      </c>
      <c r="I34" s="151"/>
      <c r="J34" s="151"/>
      <c r="K34" s="151"/>
      <c r="L34" s="151"/>
      <c r="M34" s="167"/>
    </row>
    <row r="35" s="129" customFormat="1" ht="11.25" spans="1:13">
      <c r="A35" s="159" t="s">
        <v>95</v>
      </c>
      <c r="B35" s="157">
        <v>4575</v>
      </c>
      <c r="C35" s="147">
        <f t="shared" ref="C35:C56" si="7">B35+D35</f>
        <v>17027</v>
      </c>
      <c r="D35" s="157">
        <f>4417+4162+3033+590+250</f>
        <v>12452</v>
      </c>
      <c r="E35" s="148" t="s">
        <v>96</v>
      </c>
      <c r="F35" s="160"/>
      <c r="G35" s="151">
        <f t="shared" si="5"/>
        <v>0</v>
      </c>
      <c r="H35" s="152">
        <f t="shared" si="6"/>
        <v>0</v>
      </c>
      <c r="I35" s="151"/>
      <c r="J35" s="151"/>
      <c r="K35" s="151"/>
      <c r="L35" s="151"/>
      <c r="M35" s="167"/>
    </row>
    <row r="36" s="129" customFormat="1" ht="11.25" spans="1:13">
      <c r="A36" s="163" t="s">
        <v>97</v>
      </c>
      <c r="B36" s="157"/>
      <c r="C36" s="147">
        <f t="shared" si="7"/>
        <v>0</v>
      </c>
      <c r="D36" s="157"/>
      <c r="E36" s="148" t="s">
        <v>98</v>
      </c>
      <c r="F36" s="160">
        <v>368</v>
      </c>
      <c r="G36" s="151">
        <f t="shared" si="5"/>
        <v>368</v>
      </c>
      <c r="H36" s="152">
        <f t="shared" si="6"/>
        <v>0</v>
      </c>
      <c r="I36" s="151"/>
      <c r="J36" s="151"/>
      <c r="K36" s="151"/>
      <c r="L36" s="151"/>
      <c r="M36" s="167"/>
    </row>
    <row r="37" s="129" customFormat="1" ht="37" customHeight="1" spans="1:13">
      <c r="A37" s="164" t="s">
        <v>99</v>
      </c>
      <c r="B37" s="157"/>
      <c r="C37" s="147">
        <f t="shared" si="7"/>
        <v>0</v>
      </c>
      <c r="D37" s="157"/>
      <c r="E37" s="148" t="s">
        <v>100</v>
      </c>
      <c r="F37" s="160">
        <v>235</v>
      </c>
      <c r="G37" s="151">
        <f t="shared" si="5"/>
        <v>2390</v>
      </c>
      <c r="H37" s="152">
        <f t="shared" si="6"/>
        <v>2155</v>
      </c>
      <c r="I37" s="151">
        <v>1700</v>
      </c>
      <c r="J37" s="151"/>
      <c r="K37" s="151"/>
      <c r="L37" s="151">
        <f>115+50+290</f>
        <v>455</v>
      </c>
      <c r="M37" s="167" t="s">
        <v>101</v>
      </c>
    </row>
    <row r="38" s="129" customFormat="1" ht="11.25" spans="1:13">
      <c r="A38" s="164" t="s">
        <v>102</v>
      </c>
      <c r="B38" s="157"/>
      <c r="C38" s="147">
        <f t="shared" si="7"/>
        <v>0</v>
      </c>
      <c r="D38" s="157"/>
      <c r="E38" s="148"/>
      <c r="F38" s="160"/>
      <c r="G38" s="151"/>
      <c r="H38" s="152"/>
      <c r="I38" s="151"/>
      <c r="J38" s="151"/>
      <c r="K38" s="151"/>
      <c r="L38" s="151"/>
      <c r="M38" s="167"/>
    </row>
    <row r="39" s="129" customFormat="1" ht="11.25" spans="1:13">
      <c r="A39" s="164" t="s">
        <v>103</v>
      </c>
      <c r="B39" s="157"/>
      <c r="C39" s="147">
        <f t="shared" si="7"/>
        <v>372</v>
      </c>
      <c r="D39" s="157">
        <f>355+17</f>
        <v>372</v>
      </c>
      <c r="E39" s="148"/>
      <c r="F39" s="160"/>
      <c r="G39" s="151"/>
      <c r="H39" s="152"/>
      <c r="I39" s="151"/>
      <c r="J39" s="151"/>
      <c r="K39" s="151"/>
      <c r="L39" s="151"/>
      <c r="M39" s="167"/>
    </row>
    <row r="40" s="129" customFormat="1" ht="11.25" spans="1:13">
      <c r="A40" s="164" t="s">
        <v>104</v>
      </c>
      <c r="B40" s="157">
        <v>2763</v>
      </c>
      <c r="C40" s="147">
        <f t="shared" si="7"/>
        <v>8334</v>
      </c>
      <c r="D40" s="157">
        <f>2889+2682</f>
        <v>5571</v>
      </c>
      <c r="E40" s="148"/>
      <c r="F40" s="160"/>
      <c r="G40" s="151"/>
      <c r="H40" s="152"/>
      <c r="I40" s="151"/>
      <c r="J40" s="151"/>
      <c r="K40" s="151"/>
      <c r="L40" s="151"/>
      <c r="M40" s="167"/>
    </row>
    <row r="41" s="129" customFormat="1" ht="11.25" spans="1:13">
      <c r="A41" s="164" t="s">
        <v>105</v>
      </c>
      <c r="B41" s="157"/>
      <c r="C41" s="147">
        <f t="shared" si="7"/>
        <v>0</v>
      </c>
      <c r="D41" s="157"/>
      <c r="E41" s="148"/>
      <c r="F41" s="160"/>
      <c r="G41" s="151"/>
      <c r="H41" s="152"/>
      <c r="I41" s="151"/>
      <c r="J41" s="151"/>
      <c r="K41" s="151"/>
      <c r="L41" s="151"/>
      <c r="M41" s="167"/>
    </row>
    <row r="42" s="129" customFormat="1" ht="11.25" spans="1:13">
      <c r="A42" s="165" t="s">
        <v>106</v>
      </c>
      <c r="B42" s="157"/>
      <c r="C42" s="147">
        <f t="shared" si="7"/>
        <v>92</v>
      </c>
      <c r="D42" s="157">
        <v>92</v>
      </c>
      <c r="E42" s="148"/>
      <c r="F42" s="160"/>
      <c r="G42" s="151"/>
      <c r="H42" s="152"/>
      <c r="I42" s="151"/>
      <c r="J42" s="151"/>
      <c r="K42" s="151"/>
      <c r="L42" s="151"/>
      <c r="M42" s="167"/>
    </row>
    <row r="43" s="129" customFormat="1" ht="11.25" spans="1:13">
      <c r="A43" s="165" t="s">
        <v>107</v>
      </c>
      <c r="B43" s="157">
        <v>4062</v>
      </c>
      <c r="C43" s="147">
        <f t="shared" si="7"/>
        <v>4564</v>
      </c>
      <c r="D43" s="157">
        <f>199-12+9+63+222+21</f>
        <v>502</v>
      </c>
      <c r="E43" s="148"/>
      <c r="F43" s="160"/>
      <c r="G43" s="151"/>
      <c r="H43" s="152"/>
      <c r="I43" s="151"/>
      <c r="J43" s="151"/>
      <c r="K43" s="151"/>
      <c r="L43" s="151"/>
      <c r="M43" s="167"/>
    </row>
    <row r="44" s="129" customFormat="1" ht="11.25" spans="1:13">
      <c r="A44" s="164" t="s">
        <v>108</v>
      </c>
      <c r="B44" s="157">
        <v>2205</v>
      </c>
      <c r="C44" s="147">
        <f t="shared" si="7"/>
        <v>3766</v>
      </c>
      <c r="D44" s="157">
        <f>161+631+369+400</f>
        <v>1561</v>
      </c>
      <c r="E44" s="148"/>
      <c r="F44" s="160"/>
      <c r="G44" s="151"/>
      <c r="H44" s="152"/>
      <c r="I44" s="151"/>
      <c r="J44" s="151"/>
      <c r="K44" s="151"/>
      <c r="L44" s="151"/>
      <c r="M44" s="167"/>
    </row>
    <row r="45" s="129" customFormat="1" ht="11.25" spans="1:13">
      <c r="A45" s="164" t="s">
        <v>109</v>
      </c>
      <c r="B45" s="157"/>
      <c r="C45" s="147">
        <f t="shared" si="7"/>
        <v>9</v>
      </c>
      <c r="D45" s="157">
        <v>9</v>
      </c>
      <c r="E45" s="148"/>
      <c r="F45" s="160"/>
      <c r="G45" s="151"/>
      <c r="H45" s="152"/>
      <c r="I45" s="151"/>
      <c r="J45" s="151"/>
      <c r="K45" s="151"/>
      <c r="L45" s="151"/>
      <c r="M45" s="167"/>
    </row>
    <row r="46" s="129" customFormat="1" ht="11.25" spans="1:13">
      <c r="A46" s="164" t="s">
        <v>110</v>
      </c>
      <c r="B46" s="157"/>
      <c r="C46" s="147">
        <f t="shared" si="7"/>
        <v>0</v>
      </c>
      <c r="D46" s="157"/>
      <c r="E46" s="148"/>
      <c r="F46" s="160"/>
      <c r="G46" s="151"/>
      <c r="H46" s="152"/>
      <c r="I46" s="151"/>
      <c r="J46" s="151"/>
      <c r="K46" s="151"/>
      <c r="L46" s="151"/>
      <c r="M46" s="167"/>
    </row>
    <row r="47" s="129" customFormat="1" ht="11.25" spans="1:13">
      <c r="A47" s="164" t="s">
        <v>111</v>
      </c>
      <c r="B47" s="157"/>
      <c r="C47" s="147">
        <f t="shared" si="7"/>
        <v>3174</v>
      </c>
      <c r="D47" s="157">
        <f>115+235+205+1002+19+996+602</f>
        <v>3174</v>
      </c>
      <c r="E47" s="148"/>
      <c r="F47" s="160"/>
      <c r="G47" s="151"/>
      <c r="H47" s="152"/>
      <c r="I47" s="151"/>
      <c r="J47" s="151"/>
      <c r="K47" s="151"/>
      <c r="L47" s="151"/>
      <c r="M47" s="167"/>
    </row>
    <row r="48" s="129" customFormat="1" ht="11.25" spans="1:13">
      <c r="A48" s="164" t="s">
        <v>112</v>
      </c>
      <c r="B48" s="157"/>
      <c r="C48" s="147">
        <f t="shared" si="7"/>
        <v>0</v>
      </c>
      <c r="D48" s="157"/>
      <c r="E48" s="148"/>
      <c r="F48" s="160"/>
      <c r="G48" s="151"/>
      <c r="H48" s="152"/>
      <c r="I48" s="151"/>
      <c r="J48" s="151"/>
      <c r="K48" s="151"/>
      <c r="L48" s="151"/>
      <c r="M48" s="167"/>
    </row>
    <row r="49" s="129" customFormat="1" ht="11.25" spans="1:13">
      <c r="A49" s="163" t="s">
        <v>113</v>
      </c>
      <c r="B49" s="157"/>
      <c r="C49" s="147">
        <f t="shared" si="7"/>
        <v>0</v>
      </c>
      <c r="D49" s="157"/>
      <c r="E49" s="148"/>
      <c r="F49" s="160"/>
      <c r="G49" s="151"/>
      <c r="H49" s="152"/>
      <c r="I49" s="151"/>
      <c r="J49" s="151"/>
      <c r="K49" s="151"/>
      <c r="L49" s="151"/>
      <c r="M49" s="167"/>
    </row>
    <row r="50" s="129" customFormat="1" ht="11.25" spans="1:13">
      <c r="A50" s="163" t="s">
        <v>114</v>
      </c>
      <c r="B50" s="157"/>
      <c r="C50" s="147">
        <f t="shared" si="7"/>
        <v>0</v>
      </c>
      <c r="D50" s="157"/>
      <c r="E50" s="148"/>
      <c r="F50" s="160"/>
      <c r="G50" s="151"/>
      <c r="H50" s="152"/>
      <c r="I50" s="151"/>
      <c r="J50" s="151"/>
      <c r="K50" s="151"/>
      <c r="L50" s="151"/>
      <c r="M50" s="167"/>
    </row>
    <row r="51" s="129" customFormat="1" ht="11.25" spans="1:13">
      <c r="A51" s="164" t="s">
        <v>115</v>
      </c>
      <c r="B51" s="157"/>
      <c r="C51" s="147">
        <f t="shared" si="7"/>
        <v>0</v>
      </c>
      <c r="D51" s="157"/>
      <c r="E51" s="148"/>
      <c r="F51" s="160"/>
      <c r="G51" s="151"/>
      <c r="H51" s="152"/>
      <c r="I51" s="151"/>
      <c r="J51" s="151"/>
      <c r="K51" s="151"/>
      <c r="L51" s="151"/>
      <c r="M51" s="167"/>
    </row>
    <row r="52" s="129" customFormat="1" ht="11.25" spans="1:13">
      <c r="A52" s="165" t="s">
        <v>116</v>
      </c>
      <c r="B52" s="157"/>
      <c r="C52" s="147">
        <f t="shared" si="7"/>
        <v>0</v>
      </c>
      <c r="D52" s="157"/>
      <c r="E52" s="148"/>
      <c r="F52" s="160"/>
      <c r="G52" s="151"/>
      <c r="H52" s="152"/>
      <c r="I52" s="151"/>
      <c r="J52" s="151"/>
      <c r="K52" s="151"/>
      <c r="L52" s="151"/>
      <c r="M52" s="167"/>
    </row>
    <row r="53" s="129" customFormat="1" ht="11.25" spans="1:13">
      <c r="A53" s="164" t="s">
        <v>117</v>
      </c>
      <c r="B53" s="157"/>
      <c r="C53" s="147">
        <f t="shared" si="7"/>
        <v>927</v>
      </c>
      <c r="D53" s="157">
        <f>-42+969</f>
        <v>927</v>
      </c>
      <c r="E53" s="148"/>
      <c r="F53" s="160"/>
      <c r="G53" s="151"/>
      <c r="H53" s="152"/>
      <c r="I53" s="151"/>
      <c r="J53" s="151"/>
      <c r="K53" s="151"/>
      <c r="L53" s="151"/>
      <c r="M53" s="167"/>
    </row>
    <row r="54" s="129" customFormat="1" ht="11.25" spans="1:13">
      <c r="A54" s="163" t="s">
        <v>118</v>
      </c>
      <c r="B54" s="157"/>
      <c r="C54" s="147">
        <f t="shared" si="7"/>
        <v>0</v>
      </c>
      <c r="D54" s="157"/>
      <c r="E54" s="148"/>
      <c r="F54" s="160"/>
      <c r="G54" s="151"/>
      <c r="H54" s="152"/>
      <c r="I54" s="151"/>
      <c r="J54" s="151"/>
      <c r="K54" s="151"/>
      <c r="L54" s="151"/>
      <c r="M54" s="167"/>
    </row>
    <row r="55" s="129" customFormat="1" ht="11.25" spans="1:13">
      <c r="A55" s="164" t="s">
        <v>119</v>
      </c>
      <c r="B55" s="157"/>
      <c r="C55" s="147">
        <f t="shared" si="7"/>
        <v>285</v>
      </c>
      <c r="D55" s="157">
        <f>180+105</f>
        <v>285</v>
      </c>
      <c r="E55" s="148"/>
      <c r="F55" s="160"/>
      <c r="G55" s="151"/>
      <c r="H55" s="152"/>
      <c r="I55" s="151"/>
      <c r="J55" s="151"/>
      <c r="K55" s="151"/>
      <c r="L55" s="151"/>
      <c r="M55" s="167"/>
    </row>
    <row r="56" s="129" customFormat="1" ht="11.25" spans="1:13">
      <c r="A56" s="166" t="s">
        <v>120</v>
      </c>
      <c r="B56" s="157">
        <v>801</v>
      </c>
      <c r="C56" s="147">
        <f t="shared" si="7"/>
        <v>1643</v>
      </c>
      <c r="D56" s="157">
        <f>11+20+33+576-9+200+1+10</f>
        <v>842</v>
      </c>
      <c r="E56" s="148"/>
      <c r="F56" s="160"/>
      <c r="G56" s="151"/>
      <c r="H56" s="152"/>
      <c r="I56" s="151"/>
      <c r="J56" s="151"/>
      <c r="K56" s="151"/>
      <c r="L56" s="151"/>
      <c r="M56" s="167"/>
    </row>
    <row r="57" s="129" customFormat="1" ht="11.25" spans="1:13">
      <c r="A57" s="159" t="s">
        <v>121</v>
      </c>
      <c r="B57" s="160">
        <f>SUM(B58:B78)</f>
        <v>16359</v>
      </c>
      <c r="C57" s="147">
        <f t="shared" ref="C57:C77" si="8">B57+D57</f>
        <v>37603</v>
      </c>
      <c r="D57" s="160">
        <f>SUM(D58:D78)</f>
        <v>21244</v>
      </c>
      <c r="E57" s="148"/>
      <c r="F57" s="160"/>
      <c r="G57" s="151"/>
      <c r="H57" s="152"/>
      <c r="I57" s="151"/>
      <c r="J57" s="151"/>
      <c r="K57" s="151"/>
      <c r="L57" s="151"/>
      <c r="M57" s="167"/>
    </row>
    <row r="58" s="129" customFormat="1" ht="11.25" spans="1:13">
      <c r="A58" s="159" t="s">
        <v>122</v>
      </c>
      <c r="B58" s="157">
        <v>8</v>
      </c>
      <c r="C58" s="147">
        <f t="shared" si="8"/>
        <v>154</v>
      </c>
      <c r="D58" s="146">
        <f>52+14+80</f>
        <v>146</v>
      </c>
      <c r="E58" s="159" t="s">
        <v>123</v>
      </c>
      <c r="F58" s="160"/>
      <c r="G58" s="167"/>
      <c r="H58" s="152"/>
      <c r="I58" s="151"/>
      <c r="J58" s="151"/>
      <c r="K58" s="151"/>
      <c r="L58" s="151"/>
      <c r="M58" s="167"/>
    </row>
    <row r="59" s="129" customFormat="1" ht="11.25" spans="1:13">
      <c r="A59" s="159" t="s">
        <v>124</v>
      </c>
      <c r="B59" s="157"/>
      <c r="C59" s="147">
        <f t="shared" si="8"/>
        <v>0</v>
      </c>
      <c r="D59" s="146"/>
      <c r="E59" s="159" t="s">
        <v>123</v>
      </c>
      <c r="F59" s="160"/>
      <c r="G59" s="167"/>
      <c r="H59" s="152"/>
      <c r="I59" s="151"/>
      <c r="J59" s="151"/>
      <c r="K59" s="151"/>
      <c r="L59" s="151"/>
      <c r="M59" s="167"/>
    </row>
    <row r="60" s="129" customFormat="1" ht="11.25" spans="1:13">
      <c r="A60" s="159" t="s">
        <v>125</v>
      </c>
      <c r="B60" s="157"/>
      <c r="C60" s="147">
        <f t="shared" si="8"/>
        <v>0</v>
      </c>
      <c r="D60" s="157"/>
      <c r="E60" s="156" t="s">
        <v>123</v>
      </c>
      <c r="F60" s="155"/>
      <c r="G60" s="167"/>
      <c r="H60" s="152"/>
      <c r="I60" s="151"/>
      <c r="J60" s="151"/>
      <c r="K60" s="151"/>
      <c r="L60" s="151"/>
      <c r="M60" s="167"/>
    </row>
    <row r="61" s="129" customFormat="1" ht="11.25" spans="1:13">
      <c r="A61" s="159" t="s">
        <v>126</v>
      </c>
      <c r="B61" s="157"/>
      <c r="C61" s="147">
        <f t="shared" si="8"/>
        <v>1200</v>
      </c>
      <c r="D61" s="157">
        <v>1200</v>
      </c>
      <c r="E61" s="156" t="s">
        <v>123</v>
      </c>
      <c r="F61" s="155"/>
      <c r="G61" s="167"/>
      <c r="H61" s="168"/>
      <c r="I61" s="167"/>
      <c r="J61" s="167"/>
      <c r="K61" s="167"/>
      <c r="L61" s="167"/>
      <c r="M61" s="167"/>
    </row>
    <row r="62" s="129" customFormat="1" ht="11.25" spans="1:13">
      <c r="A62" s="159" t="s">
        <v>127</v>
      </c>
      <c r="B62" s="157">
        <v>10</v>
      </c>
      <c r="C62" s="147">
        <f t="shared" si="8"/>
        <v>1554</v>
      </c>
      <c r="D62" s="157">
        <f>1516+28</f>
        <v>1544</v>
      </c>
      <c r="E62" s="156" t="s">
        <v>123</v>
      </c>
      <c r="F62" s="155"/>
      <c r="G62" s="167"/>
      <c r="H62" s="168"/>
      <c r="I62" s="167"/>
      <c r="J62" s="167"/>
      <c r="K62" s="167"/>
      <c r="L62" s="167"/>
      <c r="M62" s="167"/>
    </row>
    <row r="63" s="129" customFormat="1" ht="11.25" spans="1:13">
      <c r="A63" s="159" t="s">
        <v>128</v>
      </c>
      <c r="B63" s="157">
        <v>10</v>
      </c>
      <c r="C63" s="147">
        <f t="shared" si="8"/>
        <v>20</v>
      </c>
      <c r="D63" s="157">
        <v>10</v>
      </c>
      <c r="E63" s="156" t="s">
        <v>123</v>
      </c>
      <c r="F63" s="155"/>
      <c r="G63" s="167"/>
      <c r="H63" s="168"/>
      <c r="I63" s="167"/>
      <c r="J63" s="167"/>
      <c r="K63" s="167"/>
      <c r="L63" s="167"/>
      <c r="M63" s="167"/>
    </row>
    <row r="64" s="129" customFormat="1" ht="11.25" spans="1:13">
      <c r="A64" s="159" t="s">
        <v>129</v>
      </c>
      <c r="B64" s="157">
        <v>518</v>
      </c>
      <c r="C64" s="147">
        <f t="shared" si="8"/>
        <v>1167</v>
      </c>
      <c r="D64" s="157">
        <f>67+30+20+32+500</f>
        <v>649</v>
      </c>
      <c r="E64" s="156" t="s">
        <v>123</v>
      </c>
      <c r="F64" s="155"/>
      <c r="G64" s="167"/>
      <c r="H64" s="168"/>
      <c r="I64" s="167"/>
      <c r="J64" s="167"/>
      <c r="K64" s="167"/>
      <c r="L64" s="167"/>
      <c r="M64" s="167"/>
    </row>
    <row r="65" s="129" customFormat="1" ht="11.25" spans="1:13">
      <c r="A65" s="159" t="s">
        <v>130</v>
      </c>
      <c r="B65" s="157">
        <v>662</v>
      </c>
      <c r="C65" s="147">
        <f t="shared" si="8"/>
        <v>1922</v>
      </c>
      <c r="D65" s="157">
        <f>1202+60-2</f>
        <v>1260</v>
      </c>
      <c r="E65" s="156" t="s">
        <v>123</v>
      </c>
      <c r="F65" s="155"/>
      <c r="G65" s="167"/>
      <c r="H65" s="168"/>
      <c r="I65" s="167"/>
      <c r="J65" s="167"/>
      <c r="K65" s="167"/>
      <c r="L65" s="167"/>
      <c r="M65" s="167"/>
    </row>
    <row r="66" s="129" customFormat="1" ht="11.25" spans="1:13">
      <c r="A66" s="159" t="s">
        <v>131</v>
      </c>
      <c r="B66" s="157">
        <v>766</v>
      </c>
      <c r="C66" s="147">
        <f t="shared" si="8"/>
        <v>1446</v>
      </c>
      <c r="D66" s="157">
        <f>62+600+18</f>
        <v>680</v>
      </c>
      <c r="E66" s="156" t="s">
        <v>123</v>
      </c>
      <c r="F66" s="155"/>
      <c r="G66" s="167"/>
      <c r="H66" s="168"/>
      <c r="I66" s="167"/>
      <c r="J66" s="167"/>
      <c r="K66" s="167"/>
      <c r="L66" s="167"/>
      <c r="M66" s="167"/>
    </row>
    <row r="67" s="129" customFormat="1" ht="11.25" spans="1:13">
      <c r="A67" s="159" t="s">
        <v>132</v>
      </c>
      <c r="B67" s="157">
        <v>250</v>
      </c>
      <c r="C67" s="147">
        <f t="shared" si="8"/>
        <v>3702</v>
      </c>
      <c r="D67" s="157">
        <f>1200+12+2200+40</f>
        <v>3452</v>
      </c>
      <c r="E67" s="156" t="s">
        <v>123</v>
      </c>
      <c r="F67" s="155"/>
      <c r="G67" s="167"/>
      <c r="H67" s="168"/>
      <c r="I67" s="167"/>
      <c r="J67" s="167"/>
      <c r="K67" s="167"/>
      <c r="L67" s="167"/>
      <c r="M67" s="167"/>
    </row>
    <row r="68" s="129" customFormat="1" ht="11.25" spans="1:13">
      <c r="A68" s="159" t="s">
        <v>133</v>
      </c>
      <c r="B68" s="157">
        <v>1830</v>
      </c>
      <c r="C68" s="147">
        <f t="shared" si="8"/>
        <v>5189</v>
      </c>
      <c r="D68" s="157">
        <f>2267+651+150+2+289</f>
        <v>3359</v>
      </c>
      <c r="E68" s="156" t="s">
        <v>123</v>
      </c>
      <c r="F68" s="155"/>
      <c r="G68" s="167"/>
      <c r="H68" s="168"/>
      <c r="I68" s="167"/>
      <c r="J68" s="167"/>
      <c r="K68" s="167"/>
      <c r="L68" s="167"/>
      <c r="M68" s="167"/>
    </row>
    <row r="69" s="129" customFormat="1" ht="11.25" spans="1:13">
      <c r="A69" s="159" t="s">
        <v>134</v>
      </c>
      <c r="B69" s="157">
        <v>9559</v>
      </c>
      <c r="C69" s="147">
        <f t="shared" si="8"/>
        <v>16725</v>
      </c>
      <c r="D69" s="157">
        <f>502+2336+117+36+1390+1204+9+220+98+30+1174+50</f>
        <v>7166</v>
      </c>
      <c r="E69" s="156" t="s">
        <v>123</v>
      </c>
      <c r="F69" s="155"/>
      <c r="G69" s="167"/>
      <c r="H69" s="168"/>
      <c r="I69" s="167"/>
      <c r="J69" s="167"/>
      <c r="K69" s="167"/>
      <c r="L69" s="167"/>
      <c r="M69" s="167"/>
    </row>
    <row r="70" s="129" customFormat="1" ht="11.25" spans="1:13">
      <c r="A70" s="159" t="s">
        <v>135</v>
      </c>
      <c r="B70" s="157">
        <v>2515</v>
      </c>
      <c r="C70" s="147">
        <f t="shared" si="8"/>
        <v>2904</v>
      </c>
      <c r="D70" s="157">
        <f>380+9</f>
        <v>389</v>
      </c>
      <c r="E70" s="156" t="s">
        <v>123</v>
      </c>
      <c r="F70" s="155"/>
      <c r="G70" s="167"/>
      <c r="H70" s="168"/>
      <c r="I70" s="167"/>
      <c r="J70" s="167"/>
      <c r="K70" s="167"/>
      <c r="L70" s="167"/>
      <c r="M70" s="167"/>
    </row>
    <row r="71" s="129" customFormat="1" ht="11.25" spans="1:13">
      <c r="A71" s="159" t="s">
        <v>136</v>
      </c>
      <c r="B71" s="157"/>
      <c r="C71" s="147">
        <f t="shared" si="8"/>
        <v>150</v>
      </c>
      <c r="D71" s="157">
        <v>150</v>
      </c>
      <c r="E71" s="156" t="s">
        <v>123</v>
      </c>
      <c r="F71" s="155"/>
      <c r="G71" s="167"/>
      <c r="H71" s="168"/>
      <c r="I71" s="167"/>
      <c r="J71" s="167"/>
      <c r="K71" s="167"/>
      <c r="L71" s="167"/>
      <c r="M71" s="167"/>
    </row>
    <row r="72" s="129" customFormat="1" ht="11.25" spans="1:13">
      <c r="A72" s="159" t="s">
        <v>137</v>
      </c>
      <c r="B72" s="157">
        <v>68</v>
      </c>
      <c r="C72" s="147">
        <f t="shared" si="8"/>
        <v>83</v>
      </c>
      <c r="D72" s="157">
        <v>15</v>
      </c>
      <c r="E72" s="156" t="s">
        <v>123</v>
      </c>
      <c r="F72" s="155"/>
      <c r="G72" s="167"/>
      <c r="H72" s="168"/>
      <c r="I72" s="167"/>
      <c r="J72" s="167"/>
      <c r="K72" s="167"/>
      <c r="L72" s="167"/>
      <c r="M72" s="167"/>
    </row>
    <row r="73" s="129" customFormat="1" ht="11.25" spans="1:13">
      <c r="A73" s="159" t="s">
        <v>138</v>
      </c>
      <c r="B73" s="157"/>
      <c r="C73" s="147">
        <f t="shared" si="8"/>
        <v>30</v>
      </c>
      <c r="D73" s="157">
        <v>30</v>
      </c>
      <c r="E73" s="156" t="s">
        <v>123</v>
      </c>
      <c r="F73" s="155"/>
      <c r="G73" s="167"/>
      <c r="H73" s="168"/>
      <c r="I73" s="167"/>
      <c r="J73" s="167"/>
      <c r="K73" s="167"/>
      <c r="L73" s="167"/>
      <c r="M73" s="167"/>
    </row>
    <row r="74" s="129" customFormat="1" ht="11.25" spans="1:13">
      <c r="A74" s="159" t="s">
        <v>139</v>
      </c>
      <c r="B74" s="157"/>
      <c r="C74" s="147">
        <f t="shared" si="8"/>
        <v>134</v>
      </c>
      <c r="D74" s="157">
        <f>8+126</f>
        <v>134</v>
      </c>
      <c r="E74" s="159" t="s">
        <v>123</v>
      </c>
      <c r="F74" s="160"/>
      <c r="G74" s="167"/>
      <c r="H74" s="168"/>
      <c r="I74" s="167"/>
      <c r="J74" s="167"/>
      <c r="K74" s="167"/>
      <c r="L74" s="167"/>
      <c r="M74" s="167"/>
    </row>
    <row r="75" s="129" customFormat="1" ht="11.25" spans="1:13">
      <c r="A75" s="159" t="s">
        <v>140</v>
      </c>
      <c r="B75" s="157">
        <v>163</v>
      </c>
      <c r="C75" s="147">
        <f t="shared" si="8"/>
        <v>176</v>
      </c>
      <c r="D75" s="157">
        <f>9+4</f>
        <v>13</v>
      </c>
      <c r="E75" s="159" t="s">
        <v>123</v>
      </c>
      <c r="F75" s="160"/>
      <c r="G75" s="167"/>
      <c r="H75" s="168"/>
      <c r="I75" s="167"/>
      <c r="J75" s="167"/>
      <c r="K75" s="167"/>
      <c r="L75" s="167"/>
      <c r="M75" s="167"/>
    </row>
    <row r="76" s="129" customFormat="1" ht="11.25" spans="1:13">
      <c r="A76" s="159" t="s">
        <v>141</v>
      </c>
      <c r="B76" s="160"/>
      <c r="C76" s="147">
        <f t="shared" si="8"/>
        <v>0</v>
      </c>
      <c r="D76" s="160"/>
      <c r="E76" s="159" t="s">
        <v>123</v>
      </c>
      <c r="F76" s="160"/>
      <c r="G76" s="167"/>
      <c r="H76" s="168"/>
      <c r="I76" s="167"/>
      <c r="J76" s="167"/>
      <c r="K76" s="167"/>
      <c r="L76" s="167"/>
      <c r="M76" s="167"/>
    </row>
    <row r="77" s="129" customFormat="1" ht="11.25" spans="1:13">
      <c r="A77" s="159" t="s">
        <v>142</v>
      </c>
      <c r="B77" s="160"/>
      <c r="C77" s="147">
        <f t="shared" si="8"/>
        <v>1047</v>
      </c>
      <c r="D77" s="174">
        <f>537+10+500</f>
        <v>1047</v>
      </c>
      <c r="E77" s="159"/>
      <c r="F77" s="160"/>
      <c r="G77" s="167"/>
      <c r="H77" s="168"/>
      <c r="I77" s="167"/>
      <c r="J77" s="167"/>
      <c r="K77" s="167"/>
      <c r="L77" s="167"/>
      <c r="M77" s="167"/>
    </row>
    <row r="78" s="129" customFormat="1" ht="11.25" spans="1:13">
      <c r="A78" s="146" t="s">
        <v>143</v>
      </c>
      <c r="B78" s="174"/>
      <c r="C78" s="147"/>
      <c r="D78" s="174"/>
      <c r="E78" s="159" t="s">
        <v>123</v>
      </c>
      <c r="F78" s="160"/>
      <c r="G78" s="167"/>
      <c r="H78" s="168"/>
      <c r="I78" s="167"/>
      <c r="J78" s="167"/>
      <c r="K78" s="167"/>
      <c r="L78" s="167"/>
      <c r="M78" s="167"/>
    </row>
    <row r="79" s="129" customFormat="1" ht="11.25" spans="1:13">
      <c r="A79" s="153" t="s">
        <v>144</v>
      </c>
      <c r="B79" s="155">
        <v>1968</v>
      </c>
      <c r="C79" s="147">
        <f t="shared" ref="C79:C87" si="9">B79+D79</f>
        <v>1968</v>
      </c>
      <c r="D79" s="155"/>
      <c r="E79" s="156"/>
      <c r="F79" s="160"/>
      <c r="G79" s="167"/>
      <c r="H79" s="168"/>
      <c r="I79" s="167"/>
      <c r="J79" s="167"/>
      <c r="K79" s="167"/>
      <c r="L79" s="167"/>
      <c r="M79" s="167"/>
    </row>
    <row r="80" s="129" customFormat="1" ht="11.25" spans="1:13">
      <c r="A80" s="153" t="s">
        <v>145</v>
      </c>
      <c r="B80" s="155">
        <f>SUM(B81:B84)</f>
        <v>139</v>
      </c>
      <c r="C80" s="147">
        <f t="shared" si="9"/>
        <v>16139</v>
      </c>
      <c r="D80" s="155">
        <f>SUM(D81:D84)</f>
        <v>16000</v>
      </c>
      <c r="E80" s="153"/>
      <c r="F80" s="155"/>
      <c r="G80" s="167"/>
      <c r="H80" s="168"/>
      <c r="I80" s="167"/>
      <c r="J80" s="167"/>
      <c r="K80" s="167"/>
      <c r="L80" s="167"/>
      <c r="M80" s="167"/>
    </row>
    <row r="81" s="129" customFormat="1" ht="11.25" spans="1:13">
      <c r="A81" s="153" t="s">
        <v>146</v>
      </c>
      <c r="B81" s="155">
        <v>139</v>
      </c>
      <c r="C81" s="147">
        <f t="shared" si="9"/>
        <v>139</v>
      </c>
      <c r="D81" s="155"/>
      <c r="E81" s="153"/>
      <c r="F81" s="155"/>
      <c r="G81" s="167"/>
      <c r="H81" s="168"/>
      <c r="I81" s="167"/>
      <c r="J81" s="167"/>
      <c r="K81" s="167"/>
      <c r="L81" s="167"/>
      <c r="M81" s="167"/>
    </row>
    <row r="82" s="129" customFormat="1" ht="11.25" spans="1:13">
      <c r="A82" s="153" t="s">
        <v>147</v>
      </c>
      <c r="B82" s="155"/>
      <c r="C82" s="147">
        <f t="shared" si="9"/>
        <v>16000</v>
      </c>
      <c r="D82" s="155">
        <v>16000</v>
      </c>
      <c r="E82" s="153"/>
      <c r="F82" s="155"/>
      <c r="G82" s="167"/>
      <c r="H82" s="168"/>
      <c r="I82" s="167"/>
      <c r="J82" s="167"/>
      <c r="K82" s="167"/>
      <c r="L82" s="167"/>
      <c r="M82" s="167"/>
    </row>
    <row r="83" s="129" customFormat="1" ht="11.25" spans="1:13">
      <c r="A83" s="153" t="s">
        <v>148</v>
      </c>
      <c r="B83" s="155"/>
      <c r="C83" s="147">
        <f t="shared" si="9"/>
        <v>0</v>
      </c>
      <c r="D83" s="155"/>
      <c r="E83" s="156"/>
      <c r="F83" s="155"/>
      <c r="G83" s="167"/>
      <c r="H83" s="168"/>
      <c r="I83" s="167"/>
      <c r="J83" s="167"/>
      <c r="K83" s="167"/>
      <c r="L83" s="167"/>
      <c r="M83" s="167"/>
    </row>
    <row r="84" s="129" customFormat="1" ht="11.25" spans="1:13">
      <c r="A84" s="153" t="s">
        <v>149</v>
      </c>
      <c r="B84" s="155"/>
      <c r="C84" s="147">
        <f t="shared" si="9"/>
        <v>0</v>
      </c>
      <c r="D84" s="155"/>
      <c r="E84" s="175"/>
      <c r="F84" s="155"/>
      <c r="G84" s="167"/>
      <c r="H84" s="168"/>
      <c r="I84" s="167"/>
      <c r="J84" s="167"/>
      <c r="K84" s="167"/>
      <c r="L84" s="167"/>
      <c r="M84" s="167"/>
    </row>
    <row r="85" s="130" customFormat="1" ht="11.25" spans="1:13">
      <c r="A85" s="175" t="s">
        <v>150</v>
      </c>
      <c r="B85" s="155"/>
      <c r="C85" s="147">
        <f t="shared" si="9"/>
        <v>0</v>
      </c>
      <c r="D85" s="155"/>
      <c r="E85" s="175"/>
      <c r="F85" s="155"/>
      <c r="G85" s="176"/>
      <c r="H85" s="146"/>
      <c r="I85" s="176"/>
      <c r="J85" s="176"/>
      <c r="K85" s="176"/>
      <c r="L85" s="176"/>
      <c r="M85" s="176"/>
    </row>
    <row r="86" s="129" customFormat="1" ht="11.25" spans="1:13">
      <c r="A86" s="153" t="s">
        <v>151</v>
      </c>
      <c r="B86" s="155"/>
      <c r="C86" s="147">
        <f t="shared" si="9"/>
        <v>9059</v>
      </c>
      <c r="D86" s="155">
        <v>9059</v>
      </c>
      <c r="E86" s="153"/>
      <c r="F86" s="155"/>
      <c r="G86" s="167"/>
      <c r="H86" s="168"/>
      <c r="I86" s="167"/>
      <c r="J86" s="167"/>
      <c r="K86" s="167"/>
      <c r="L86" s="167"/>
      <c r="M86" s="167"/>
    </row>
    <row r="87" s="129" customFormat="1" ht="11.25" spans="1:13">
      <c r="A87" s="153" t="s">
        <v>152</v>
      </c>
      <c r="B87" s="155"/>
      <c r="C87" s="147">
        <f t="shared" si="9"/>
        <v>0</v>
      </c>
      <c r="D87" s="177"/>
      <c r="E87" s="156" t="s">
        <v>123</v>
      </c>
      <c r="F87" s="155"/>
      <c r="G87" s="167"/>
      <c r="H87" s="168"/>
      <c r="I87" s="167"/>
      <c r="J87" s="167"/>
      <c r="K87" s="167"/>
      <c r="L87" s="167"/>
      <c r="M87" s="167"/>
    </row>
    <row r="88" s="129" customFormat="1" ht="11.25" spans="1:13">
      <c r="A88" s="153"/>
      <c r="B88" s="155"/>
      <c r="C88" s="147"/>
      <c r="D88" s="177"/>
      <c r="E88" s="153"/>
      <c r="F88" s="155"/>
      <c r="G88" s="167"/>
      <c r="H88" s="168"/>
      <c r="I88" s="167"/>
      <c r="J88" s="167"/>
      <c r="K88" s="167"/>
      <c r="L88" s="167"/>
      <c r="M88" s="167"/>
    </row>
    <row r="89" s="129" customFormat="1" ht="11.25" spans="1:13">
      <c r="A89" s="178" t="s">
        <v>153</v>
      </c>
      <c r="B89" s="174">
        <f>B7+B8</f>
        <v>138916</v>
      </c>
      <c r="C89" s="174">
        <f>C7+C8</f>
        <v>218935</v>
      </c>
      <c r="D89" s="174">
        <f>D7+D8</f>
        <v>80019</v>
      </c>
      <c r="E89" s="178" t="s">
        <v>154</v>
      </c>
      <c r="F89" s="174">
        <f>F33+F32</f>
        <v>138916</v>
      </c>
      <c r="G89" s="174">
        <f t="shared" ref="G89:L89" si="10">G33+G32</f>
        <v>218935</v>
      </c>
      <c r="H89" s="174">
        <f t="shared" si="10"/>
        <v>80019</v>
      </c>
      <c r="I89" s="174">
        <f t="shared" si="10"/>
        <v>9059</v>
      </c>
      <c r="J89" s="174">
        <f t="shared" si="10"/>
        <v>21244</v>
      </c>
      <c r="K89" s="174">
        <f t="shared" si="10"/>
        <v>37693</v>
      </c>
      <c r="L89" s="174">
        <f t="shared" si="10"/>
        <v>12023</v>
      </c>
      <c r="M89" s="167"/>
    </row>
    <row r="90" s="129" customFormat="1" ht="11.25" spans="8:13">
      <c r="H90" s="179"/>
      <c r="M90" s="180"/>
    </row>
    <row r="91" s="129" customFormat="1" ht="11.25" spans="8:13">
      <c r="H91" s="179"/>
      <c r="M91" s="180"/>
    </row>
  </sheetData>
  <mergeCells count="14">
    <mergeCell ref="A2:M2"/>
    <mergeCell ref="A3:E3"/>
    <mergeCell ref="F3:K3"/>
    <mergeCell ref="A4:D4"/>
    <mergeCell ref="E4:L4"/>
    <mergeCell ref="H5:L5"/>
    <mergeCell ref="A5:A6"/>
    <mergeCell ref="B5:B6"/>
    <mergeCell ref="C5:C6"/>
    <mergeCell ref="D5:D6"/>
    <mergeCell ref="E5:E6"/>
    <mergeCell ref="F5:F6"/>
    <mergeCell ref="G5:G6"/>
    <mergeCell ref="M4:M6"/>
  </mergeCells>
  <pageMargins left="0.118055555555556" right="0.118055555555556" top="0.235416666666667" bottom="0.196527777777778" header="0.15625" footer="0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8"/>
  <sheetViews>
    <sheetView workbookViewId="0">
      <pane xSplit="1" ySplit="5" topLeftCell="B36" activePane="bottomRight" state="frozen"/>
      <selection/>
      <selection pane="topRight"/>
      <selection pane="bottomLeft"/>
      <selection pane="bottomRight" activeCell="G3" sqref="G3:H3"/>
    </sheetView>
  </sheetViews>
  <sheetFormatPr defaultColWidth="9" defaultRowHeight="13.5"/>
  <cols>
    <col min="1" max="1" width="5.25" style="66" customWidth="1"/>
    <col min="2" max="2" width="19.125" style="67" customWidth="1"/>
    <col min="3" max="3" width="15" style="66" hidden="1" customWidth="1"/>
    <col min="4" max="4" width="10.5" style="67" customWidth="1"/>
    <col min="5" max="5" width="8.875" style="66" hidden="1" customWidth="1"/>
    <col min="6" max="6" width="10.75" style="66" customWidth="1"/>
    <col min="7" max="7" width="40.5" style="68" customWidth="1"/>
    <col min="8" max="8" width="40.5" style="69" customWidth="1"/>
    <col min="9" max="9" width="10.5" style="70" customWidth="1"/>
    <col min="10" max="10" width="11.25" style="71" hidden="1" customWidth="1"/>
    <col min="11" max="11" width="8.75" style="25" hidden="1" customWidth="1"/>
    <col min="12" max="12" width="9.875" style="25" customWidth="1"/>
  </cols>
  <sheetData>
    <row r="1" spans="1:1">
      <c r="A1" s="72" t="s">
        <v>155</v>
      </c>
    </row>
    <row r="2" ht="22.5" spans="1:12">
      <c r="A2" s="73" t="s">
        <v>156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="64" customFormat="1" ht="18" customHeight="1" spans="1:12">
      <c r="A3" s="74" t="s">
        <v>2</v>
      </c>
      <c r="B3" s="75"/>
      <c r="C3" s="75"/>
      <c r="D3" s="75"/>
      <c r="E3" s="75"/>
      <c r="F3" s="75"/>
      <c r="G3" s="76" t="s">
        <v>3</v>
      </c>
      <c r="H3" s="76"/>
      <c r="I3" s="112" t="s">
        <v>157</v>
      </c>
      <c r="J3" s="112"/>
      <c r="K3" s="112"/>
      <c r="L3" s="112"/>
    </row>
    <row r="4" ht="18.75" customHeight="1" spans="1:12">
      <c r="A4" s="77" t="s">
        <v>158</v>
      </c>
      <c r="B4" s="77"/>
      <c r="C4" s="77"/>
      <c r="D4" s="77"/>
      <c r="E4" s="77"/>
      <c r="F4" s="77"/>
      <c r="G4" s="77" t="s">
        <v>159</v>
      </c>
      <c r="H4" s="77"/>
      <c r="I4" s="77"/>
      <c r="J4" s="77"/>
      <c r="K4" s="77"/>
      <c r="L4" s="77"/>
    </row>
    <row r="5" ht="24" spans="1:12">
      <c r="A5" s="77" t="s">
        <v>160</v>
      </c>
      <c r="B5" s="77" t="s">
        <v>161</v>
      </c>
      <c r="D5" s="78" t="s">
        <v>162</v>
      </c>
      <c r="E5" s="79" t="s">
        <v>163</v>
      </c>
      <c r="F5" s="80" t="s">
        <v>164</v>
      </c>
      <c r="G5" s="77" t="s">
        <v>161</v>
      </c>
      <c r="H5" s="81" t="s">
        <v>165</v>
      </c>
      <c r="I5" s="113" t="s">
        <v>166</v>
      </c>
      <c r="J5" s="78" t="s">
        <v>162</v>
      </c>
      <c r="K5" s="79" t="s">
        <v>163</v>
      </c>
      <c r="L5" s="78" t="s">
        <v>164</v>
      </c>
    </row>
    <row r="6" ht="14.25" spans="1:12">
      <c r="A6" s="82">
        <v>1</v>
      </c>
      <c r="B6" s="83" t="s">
        <v>167</v>
      </c>
      <c r="C6" s="84">
        <v>3211189.66</v>
      </c>
      <c r="D6" s="85">
        <f>C6/10000</f>
        <v>321.118966</v>
      </c>
      <c r="E6" s="82"/>
      <c r="F6" s="85">
        <v>321.12</v>
      </c>
      <c r="G6" s="86" t="s">
        <v>168</v>
      </c>
      <c r="H6" s="87" t="s">
        <v>169</v>
      </c>
      <c r="I6" s="114">
        <v>100</v>
      </c>
      <c r="J6" s="115">
        <f>I6/10000</f>
        <v>0.01</v>
      </c>
      <c r="K6" s="116"/>
      <c r="L6" s="114"/>
    </row>
    <row r="7" ht="14.25" spans="1:12">
      <c r="A7" s="82">
        <v>2</v>
      </c>
      <c r="B7" s="88" t="s">
        <v>170</v>
      </c>
      <c r="C7" s="84">
        <v>102788810.34</v>
      </c>
      <c r="D7" s="85">
        <f>C7/10000</f>
        <v>10278.881034</v>
      </c>
      <c r="E7" s="82"/>
      <c r="F7" s="85">
        <v>17078.88</v>
      </c>
      <c r="G7" s="86" t="s">
        <v>171</v>
      </c>
      <c r="H7" s="87" t="s">
        <v>169</v>
      </c>
      <c r="I7" s="114">
        <v>15</v>
      </c>
      <c r="J7" s="115">
        <f t="shared" ref="J7:J44" si="0">I7/10000</f>
        <v>0.0015</v>
      </c>
      <c r="K7" s="116"/>
      <c r="L7" s="114"/>
    </row>
    <row r="8" ht="14.25" spans="1:12">
      <c r="A8" s="82"/>
      <c r="B8" s="89"/>
      <c r="C8" s="90"/>
      <c r="D8" s="90"/>
      <c r="E8" s="91"/>
      <c r="F8" s="91"/>
      <c r="G8" s="92" t="s">
        <v>172</v>
      </c>
      <c r="H8" s="87" t="s">
        <v>173</v>
      </c>
      <c r="I8" s="114">
        <v>100</v>
      </c>
      <c r="J8" s="115">
        <f t="shared" si="0"/>
        <v>0.01</v>
      </c>
      <c r="K8" s="116"/>
      <c r="L8" s="114"/>
    </row>
    <row r="9" ht="14.25" spans="1:12">
      <c r="A9" s="93"/>
      <c r="B9" s="94"/>
      <c r="C9" s="95"/>
      <c r="D9" s="94"/>
      <c r="E9" s="82"/>
      <c r="F9" s="82"/>
      <c r="G9" s="96" t="s">
        <v>174</v>
      </c>
      <c r="H9" s="87" t="s">
        <v>169</v>
      </c>
      <c r="I9" s="114">
        <v>30</v>
      </c>
      <c r="J9" s="115">
        <f t="shared" si="0"/>
        <v>0.003</v>
      </c>
      <c r="K9" s="116"/>
      <c r="L9" s="114"/>
    </row>
    <row r="10" ht="14.25" spans="1:12">
      <c r="A10" s="97"/>
      <c r="B10" s="98"/>
      <c r="C10" s="90"/>
      <c r="D10" s="90"/>
      <c r="E10" s="82"/>
      <c r="F10" s="82"/>
      <c r="G10" s="92" t="s">
        <v>175</v>
      </c>
      <c r="H10" s="87" t="s">
        <v>169</v>
      </c>
      <c r="I10" s="114">
        <v>150</v>
      </c>
      <c r="J10" s="115">
        <f t="shared" si="0"/>
        <v>0.015</v>
      </c>
      <c r="K10" s="116"/>
      <c r="L10" s="114"/>
    </row>
    <row r="11" ht="14.25" spans="1:12">
      <c r="A11" s="97"/>
      <c r="B11" s="98"/>
      <c r="C11" s="90"/>
      <c r="D11" s="90"/>
      <c r="E11" s="82"/>
      <c r="F11" s="82"/>
      <c r="G11" s="99" t="s">
        <v>176</v>
      </c>
      <c r="H11" s="87" t="s">
        <v>169</v>
      </c>
      <c r="I11" s="114">
        <v>200</v>
      </c>
      <c r="J11" s="115">
        <f t="shared" si="0"/>
        <v>0.02</v>
      </c>
      <c r="K11" s="116"/>
      <c r="L11" s="114"/>
    </row>
    <row r="12" ht="14.25" spans="1:12">
      <c r="A12" s="97"/>
      <c r="B12" s="98"/>
      <c r="C12" s="90"/>
      <c r="D12" s="90"/>
      <c r="E12" s="82"/>
      <c r="F12" s="82"/>
      <c r="G12" s="100" t="s">
        <v>177</v>
      </c>
      <c r="H12" s="87" t="s">
        <v>169</v>
      </c>
      <c r="I12" s="114">
        <v>100</v>
      </c>
      <c r="J12" s="115">
        <f t="shared" si="0"/>
        <v>0.01</v>
      </c>
      <c r="K12" s="116"/>
      <c r="L12" s="114"/>
    </row>
    <row r="13" ht="14.25" spans="1:12">
      <c r="A13" s="97"/>
      <c r="B13" s="98"/>
      <c r="C13" s="90"/>
      <c r="D13" s="90"/>
      <c r="E13" s="82"/>
      <c r="F13" s="82"/>
      <c r="G13" s="99" t="s">
        <v>178</v>
      </c>
      <c r="H13" s="87" t="s">
        <v>169</v>
      </c>
      <c r="I13" s="114">
        <v>167</v>
      </c>
      <c r="J13" s="115">
        <f t="shared" si="0"/>
        <v>0.0167</v>
      </c>
      <c r="K13" s="116"/>
      <c r="L13" s="114"/>
    </row>
    <row r="14" ht="14.25" spans="1:12">
      <c r="A14" s="97"/>
      <c r="B14" s="98"/>
      <c r="C14" s="90"/>
      <c r="D14" s="90"/>
      <c r="E14" s="82"/>
      <c r="F14" s="82"/>
      <c r="G14" s="101" t="s">
        <v>179</v>
      </c>
      <c r="H14" s="87" t="s">
        <v>169</v>
      </c>
      <c r="I14" s="114">
        <v>100</v>
      </c>
      <c r="J14" s="115">
        <f t="shared" si="0"/>
        <v>0.01</v>
      </c>
      <c r="K14" s="116"/>
      <c r="L14" s="114"/>
    </row>
    <row r="15" ht="14.25" spans="1:12">
      <c r="A15" s="97"/>
      <c r="B15" s="98"/>
      <c r="C15" s="90"/>
      <c r="D15" s="90"/>
      <c r="E15" s="82"/>
      <c r="F15" s="82"/>
      <c r="G15" s="86" t="s">
        <v>180</v>
      </c>
      <c r="H15" s="87" t="s">
        <v>169</v>
      </c>
      <c r="I15" s="114">
        <v>30</v>
      </c>
      <c r="J15" s="115">
        <f t="shared" si="0"/>
        <v>0.003</v>
      </c>
      <c r="K15" s="116"/>
      <c r="L15" s="114"/>
    </row>
    <row r="16" ht="14.25" spans="1:12">
      <c r="A16" s="97"/>
      <c r="B16" s="98"/>
      <c r="C16" s="90"/>
      <c r="D16" s="90"/>
      <c r="E16" s="82"/>
      <c r="F16" s="82"/>
      <c r="G16" s="102" t="s">
        <v>181</v>
      </c>
      <c r="H16" s="87" t="s">
        <v>182</v>
      </c>
      <c r="I16" s="114">
        <v>800</v>
      </c>
      <c r="J16" s="115">
        <f t="shared" si="0"/>
        <v>0.08</v>
      </c>
      <c r="K16" s="116"/>
      <c r="L16" s="114"/>
    </row>
    <row r="17" ht="14.25" spans="1:12">
      <c r="A17" s="103"/>
      <c r="B17" s="98"/>
      <c r="C17" s="90"/>
      <c r="D17" s="90"/>
      <c r="E17" s="97"/>
      <c r="F17" s="97"/>
      <c r="G17" s="92" t="s">
        <v>183</v>
      </c>
      <c r="H17" s="87" t="s">
        <v>169</v>
      </c>
      <c r="I17" s="114">
        <v>9.8</v>
      </c>
      <c r="J17" s="115">
        <f t="shared" si="0"/>
        <v>0.00098</v>
      </c>
      <c r="K17" s="116"/>
      <c r="L17" s="114"/>
    </row>
    <row r="18" ht="14.25" spans="1:12">
      <c r="A18" s="103"/>
      <c r="B18" s="104"/>
      <c r="C18" s="90"/>
      <c r="D18" s="90"/>
      <c r="E18" s="97"/>
      <c r="F18" s="97"/>
      <c r="G18" s="99" t="s">
        <v>184</v>
      </c>
      <c r="H18" s="87" t="s">
        <v>169</v>
      </c>
      <c r="I18" s="114">
        <v>100</v>
      </c>
      <c r="J18" s="115">
        <f t="shared" si="0"/>
        <v>0.01</v>
      </c>
      <c r="K18" s="116"/>
      <c r="L18" s="114"/>
    </row>
    <row r="19" ht="14.25" spans="1:12">
      <c r="A19" s="103"/>
      <c r="B19" s="98"/>
      <c r="C19" s="105"/>
      <c r="D19" s="105"/>
      <c r="E19" s="97"/>
      <c r="F19" s="97"/>
      <c r="G19" s="92" t="s">
        <v>185</v>
      </c>
      <c r="H19" s="87" t="s">
        <v>169</v>
      </c>
      <c r="I19" s="114">
        <v>30</v>
      </c>
      <c r="J19" s="115">
        <f t="shared" si="0"/>
        <v>0.003</v>
      </c>
      <c r="K19" s="116"/>
      <c r="L19" s="114"/>
    </row>
    <row r="20" ht="14.25" spans="1:12">
      <c r="A20" s="103"/>
      <c r="B20" s="104"/>
      <c r="C20" s="106"/>
      <c r="D20" s="107"/>
      <c r="E20" s="97"/>
      <c r="F20" s="97"/>
      <c r="G20" s="92" t="s">
        <v>186</v>
      </c>
      <c r="H20" s="87" t="s">
        <v>187</v>
      </c>
      <c r="I20" s="117">
        <v>370.87</v>
      </c>
      <c r="J20" s="115">
        <f t="shared" si="0"/>
        <v>0.037087</v>
      </c>
      <c r="K20" s="116"/>
      <c r="L20" s="117"/>
    </row>
    <row r="21" ht="14.25" spans="1:12">
      <c r="A21" s="103"/>
      <c r="B21" s="104"/>
      <c r="C21" s="106"/>
      <c r="D21" s="107"/>
      <c r="E21" s="97"/>
      <c r="F21" s="97"/>
      <c r="G21" s="92" t="s">
        <v>188</v>
      </c>
      <c r="H21" s="87" t="s">
        <v>169</v>
      </c>
      <c r="I21" s="114">
        <v>19.3</v>
      </c>
      <c r="J21" s="115">
        <f t="shared" si="0"/>
        <v>0.00193</v>
      </c>
      <c r="K21" s="116"/>
      <c r="L21" s="114"/>
    </row>
    <row r="22" ht="14.25" spans="1:12">
      <c r="A22" s="103"/>
      <c r="B22" s="104"/>
      <c r="C22" s="106"/>
      <c r="D22" s="107"/>
      <c r="E22" s="97"/>
      <c r="F22" s="97"/>
      <c r="G22" s="99" t="s">
        <v>189</v>
      </c>
      <c r="H22" s="87" t="s">
        <v>169</v>
      </c>
      <c r="I22" s="114">
        <v>100</v>
      </c>
      <c r="J22" s="115">
        <f t="shared" si="0"/>
        <v>0.01</v>
      </c>
      <c r="K22" s="116"/>
      <c r="L22" s="114"/>
    </row>
    <row r="23" ht="14.25" spans="1:12">
      <c r="A23" s="103"/>
      <c r="B23" s="104"/>
      <c r="C23" s="106"/>
      <c r="D23" s="107"/>
      <c r="E23" s="97"/>
      <c r="F23" s="97"/>
      <c r="G23" s="92" t="s">
        <v>190</v>
      </c>
      <c r="H23" s="87" t="s">
        <v>169</v>
      </c>
      <c r="I23" s="114">
        <v>119.8</v>
      </c>
      <c r="J23" s="115">
        <f t="shared" si="0"/>
        <v>0.01198</v>
      </c>
      <c r="K23" s="116"/>
      <c r="L23" s="114"/>
    </row>
    <row r="24" ht="14.25" spans="1:12">
      <c r="A24" s="103"/>
      <c r="B24" s="104"/>
      <c r="C24" s="106"/>
      <c r="D24" s="107"/>
      <c r="E24" s="97"/>
      <c r="F24" s="97"/>
      <c r="G24" s="92" t="s">
        <v>191</v>
      </c>
      <c r="H24" s="87" t="s">
        <v>169</v>
      </c>
      <c r="I24" s="114">
        <v>216.24</v>
      </c>
      <c r="J24" s="115">
        <f t="shared" si="0"/>
        <v>0.021624</v>
      </c>
      <c r="K24" s="116"/>
      <c r="L24" s="114"/>
    </row>
    <row r="25" ht="14.25" spans="1:12">
      <c r="A25" s="103"/>
      <c r="B25" s="104"/>
      <c r="C25" s="106"/>
      <c r="D25" s="107"/>
      <c r="E25" s="97"/>
      <c r="F25" s="97"/>
      <c r="G25" s="99" t="s">
        <v>192</v>
      </c>
      <c r="H25" s="87" t="s">
        <v>169</v>
      </c>
      <c r="I25" s="114">
        <v>1500</v>
      </c>
      <c r="J25" s="115">
        <f t="shared" si="0"/>
        <v>0.15</v>
      </c>
      <c r="K25" s="116"/>
      <c r="L25" s="114"/>
    </row>
    <row r="26" ht="14.25" spans="1:12">
      <c r="A26" s="103"/>
      <c r="B26" s="104"/>
      <c r="C26" s="106"/>
      <c r="D26" s="107"/>
      <c r="E26" s="97"/>
      <c r="F26" s="97"/>
      <c r="G26" s="99" t="s">
        <v>193</v>
      </c>
      <c r="H26" s="87" t="s">
        <v>169</v>
      </c>
      <c r="I26" s="114">
        <v>120</v>
      </c>
      <c r="J26" s="115">
        <f t="shared" si="0"/>
        <v>0.012</v>
      </c>
      <c r="K26" s="116"/>
      <c r="L26" s="114"/>
    </row>
    <row r="27" ht="14.25" spans="1:12">
      <c r="A27" s="103"/>
      <c r="B27" s="104"/>
      <c r="C27" s="106"/>
      <c r="D27" s="107"/>
      <c r="E27" s="97"/>
      <c r="F27" s="97"/>
      <c r="G27" s="99" t="s">
        <v>194</v>
      </c>
      <c r="H27" s="87" t="s">
        <v>173</v>
      </c>
      <c r="I27" s="114">
        <v>200</v>
      </c>
      <c r="J27" s="115">
        <f t="shared" si="0"/>
        <v>0.02</v>
      </c>
      <c r="K27" s="116"/>
      <c r="L27" s="114"/>
    </row>
    <row r="28" ht="14.25" spans="1:12">
      <c r="A28" s="103"/>
      <c r="B28" s="104"/>
      <c r="C28" s="106"/>
      <c r="D28" s="107"/>
      <c r="E28" s="97"/>
      <c r="F28" s="97"/>
      <c r="G28" s="99" t="s">
        <v>195</v>
      </c>
      <c r="H28" s="87" t="s">
        <v>169</v>
      </c>
      <c r="I28" s="114">
        <v>150</v>
      </c>
      <c r="J28" s="115">
        <f t="shared" si="0"/>
        <v>0.015</v>
      </c>
      <c r="K28" s="116"/>
      <c r="L28" s="114"/>
    </row>
    <row r="29" ht="14.25" spans="1:12">
      <c r="A29" s="103"/>
      <c r="B29" s="104"/>
      <c r="C29" s="106"/>
      <c r="D29" s="107"/>
      <c r="E29" s="97"/>
      <c r="F29" s="97"/>
      <c r="G29" s="99" t="s">
        <v>196</v>
      </c>
      <c r="H29" s="87" t="s">
        <v>169</v>
      </c>
      <c r="I29" s="114">
        <v>880</v>
      </c>
      <c r="J29" s="115">
        <f t="shared" si="0"/>
        <v>0.088</v>
      </c>
      <c r="K29" s="116"/>
      <c r="L29" s="114"/>
    </row>
    <row r="30" ht="14.25" spans="1:12">
      <c r="A30" s="103"/>
      <c r="B30" s="104"/>
      <c r="C30" s="106"/>
      <c r="D30" s="107"/>
      <c r="E30" s="97"/>
      <c r="F30" s="97"/>
      <c r="G30" s="92" t="s">
        <v>197</v>
      </c>
      <c r="H30" s="87" t="s">
        <v>173</v>
      </c>
      <c r="I30" s="118">
        <v>76</v>
      </c>
      <c r="J30" s="115">
        <f t="shared" si="0"/>
        <v>0.0076</v>
      </c>
      <c r="K30" s="116"/>
      <c r="L30" s="118"/>
    </row>
    <row r="31" ht="14.25" spans="1:12">
      <c r="A31" s="103"/>
      <c r="B31" s="104"/>
      <c r="C31" s="90"/>
      <c r="D31" s="90"/>
      <c r="E31" s="97" t="s">
        <v>123</v>
      </c>
      <c r="F31" s="97"/>
      <c r="G31" s="99" t="s">
        <v>198</v>
      </c>
      <c r="H31" s="87" t="s">
        <v>187</v>
      </c>
      <c r="I31" s="114">
        <v>1000</v>
      </c>
      <c r="J31" s="115">
        <f t="shared" si="0"/>
        <v>0.1</v>
      </c>
      <c r="K31" s="116">
        <v>-1000</v>
      </c>
      <c r="L31" s="114"/>
    </row>
    <row r="32" ht="14.25" spans="1:12">
      <c r="A32" s="103"/>
      <c r="B32" s="104"/>
      <c r="C32" s="90"/>
      <c r="D32" s="90"/>
      <c r="E32" s="97"/>
      <c r="F32" s="97"/>
      <c r="G32" s="108" t="s">
        <v>199</v>
      </c>
      <c r="H32" s="87" t="s">
        <v>169</v>
      </c>
      <c r="I32" s="114">
        <v>145</v>
      </c>
      <c r="J32" s="115">
        <f t="shared" si="0"/>
        <v>0.0145</v>
      </c>
      <c r="K32" s="116"/>
      <c r="L32" s="114"/>
    </row>
    <row r="33" ht="14.25" spans="1:12">
      <c r="A33" s="103"/>
      <c r="B33" s="104"/>
      <c r="C33" s="90"/>
      <c r="D33" s="90"/>
      <c r="E33" s="97"/>
      <c r="F33" s="97"/>
      <c r="G33" s="99" t="s">
        <v>200</v>
      </c>
      <c r="H33" s="87" t="s">
        <v>169</v>
      </c>
      <c r="I33" s="114">
        <v>100</v>
      </c>
      <c r="J33" s="115">
        <f t="shared" si="0"/>
        <v>0.01</v>
      </c>
      <c r="K33" s="116"/>
      <c r="L33" s="114"/>
    </row>
    <row r="34" ht="14.25" spans="1:12">
      <c r="A34" s="103"/>
      <c r="B34" s="104"/>
      <c r="C34" s="90"/>
      <c r="D34" s="90"/>
      <c r="E34" s="97"/>
      <c r="F34" s="97"/>
      <c r="G34" s="99" t="s">
        <v>201</v>
      </c>
      <c r="H34" s="87" t="s">
        <v>169</v>
      </c>
      <c r="I34" s="114">
        <v>103.5</v>
      </c>
      <c r="J34" s="115">
        <f t="shared" si="0"/>
        <v>0.01035</v>
      </c>
      <c r="K34" s="116"/>
      <c r="L34" s="114"/>
    </row>
    <row r="35" ht="14.25" spans="1:12">
      <c r="A35" s="103"/>
      <c r="B35" s="104"/>
      <c r="C35" s="90"/>
      <c r="D35" s="90"/>
      <c r="E35" s="97"/>
      <c r="F35" s="97"/>
      <c r="G35" s="99" t="s">
        <v>202</v>
      </c>
      <c r="H35" s="87" t="s">
        <v>173</v>
      </c>
      <c r="I35" s="114">
        <v>300</v>
      </c>
      <c r="J35" s="115">
        <f t="shared" si="0"/>
        <v>0.03</v>
      </c>
      <c r="K35" s="116"/>
      <c r="L35" s="114"/>
    </row>
    <row r="36" ht="14.25" spans="1:12">
      <c r="A36" s="103"/>
      <c r="B36" s="104"/>
      <c r="C36" s="90"/>
      <c r="D36" s="90"/>
      <c r="E36" s="97"/>
      <c r="F36" s="97"/>
      <c r="G36" s="92" t="s">
        <v>203</v>
      </c>
      <c r="H36" s="87" t="s">
        <v>169</v>
      </c>
      <c r="I36" s="114">
        <v>100</v>
      </c>
      <c r="J36" s="115">
        <f t="shared" si="0"/>
        <v>0.01</v>
      </c>
      <c r="K36" s="116"/>
      <c r="L36" s="114"/>
    </row>
    <row r="37" ht="14.25" spans="1:12">
      <c r="A37" s="103"/>
      <c r="B37" s="104"/>
      <c r="C37" s="90"/>
      <c r="D37" s="90"/>
      <c r="E37" s="97"/>
      <c r="F37" s="97"/>
      <c r="G37" s="99" t="s">
        <v>204</v>
      </c>
      <c r="H37" s="87" t="s">
        <v>173</v>
      </c>
      <c r="I37" s="114">
        <v>100</v>
      </c>
      <c r="J37" s="115">
        <f t="shared" si="0"/>
        <v>0.01</v>
      </c>
      <c r="K37" s="116"/>
      <c r="L37" s="114"/>
    </row>
    <row r="38" ht="14.25" spans="1:12">
      <c r="A38" s="103"/>
      <c r="B38" s="104"/>
      <c r="C38" s="90"/>
      <c r="D38" s="90"/>
      <c r="E38" s="97"/>
      <c r="F38" s="97"/>
      <c r="G38" s="99" t="s">
        <v>205</v>
      </c>
      <c r="H38" s="87" t="s">
        <v>169</v>
      </c>
      <c r="I38" s="114">
        <v>100</v>
      </c>
      <c r="J38" s="115">
        <f t="shared" si="0"/>
        <v>0.01</v>
      </c>
      <c r="K38" s="116"/>
      <c r="L38" s="114"/>
    </row>
    <row r="39" ht="14.25" spans="1:12">
      <c r="A39" s="103"/>
      <c r="B39" s="104"/>
      <c r="C39" s="90"/>
      <c r="D39" s="90"/>
      <c r="E39" s="97"/>
      <c r="F39" s="97"/>
      <c r="G39" s="99" t="s">
        <v>206</v>
      </c>
      <c r="H39" s="87" t="s">
        <v>169</v>
      </c>
      <c r="I39" s="114">
        <v>169.94</v>
      </c>
      <c r="J39" s="115">
        <f t="shared" si="0"/>
        <v>0.016994</v>
      </c>
      <c r="K39" s="116">
        <v>-1000</v>
      </c>
      <c r="L39" s="119">
        <v>1108</v>
      </c>
    </row>
    <row r="40" ht="14.25" spans="1:12">
      <c r="A40" s="103"/>
      <c r="B40" s="104"/>
      <c r="C40" s="90"/>
      <c r="D40" s="90"/>
      <c r="E40" s="97"/>
      <c r="F40" s="97"/>
      <c r="G40" s="99" t="s">
        <v>207</v>
      </c>
      <c r="H40" s="87" t="s">
        <v>169</v>
      </c>
      <c r="I40" s="114">
        <v>40</v>
      </c>
      <c r="J40" s="115">
        <f t="shared" si="0"/>
        <v>0.004</v>
      </c>
      <c r="K40" s="116"/>
      <c r="L40" s="114"/>
    </row>
    <row r="41" ht="14.25" spans="1:12">
      <c r="A41" s="103"/>
      <c r="B41" s="104"/>
      <c r="C41" s="90"/>
      <c r="D41" s="90"/>
      <c r="E41" s="97"/>
      <c r="F41" s="97"/>
      <c r="G41" s="99" t="s">
        <v>208</v>
      </c>
      <c r="H41" s="87" t="s">
        <v>169</v>
      </c>
      <c r="I41" s="114">
        <v>100</v>
      </c>
      <c r="J41" s="115">
        <f t="shared" si="0"/>
        <v>0.01</v>
      </c>
      <c r="K41" s="116"/>
      <c r="L41" s="114"/>
    </row>
    <row r="42" ht="14.25" spans="1:12">
      <c r="A42" s="103"/>
      <c r="B42" s="104"/>
      <c r="C42" s="106"/>
      <c r="D42" s="107"/>
      <c r="E42" s="97"/>
      <c r="F42" s="97"/>
      <c r="G42" s="99" t="s">
        <v>209</v>
      </c>
      <c r="H42" s="87" t="s">
        <v>173</v>
      </c>
      <c r="I42" s="114">
        <v>100</v>
      </c>
      <c r="J42" s="115">
        <f t="shared" si="0"/>
        <v>0.01</v>
      </c>
      <c r="K42" s="116"/>
      <c r="L42" s="114"/>
    </row>
    <row r="43" ht="14.25" spans="1:12">
      <c r="A43" s="103"/>
      <c r="B43" s="104"/>
      <c r="C43" s="106"/>
      <c r="D43" s="107"/>
      <c r="E43" s="97"/>
      <c r="F43" s="97"/>
      <c r="G43" s="92" t="s">
        <v>210</v>
      </c>
      <c r="H43" s="87" t="s">
        <v>211</v>
      </c>
      <c r="I43" s="114">
        <v>200</v>
      </c>
      <c r="J43" s="115">
        <f t="shared" si="0"/>
        <v>0.02</v>
      </c>
      <c r="K43" s="116"/>
      <c r="L43" s="114"/>
    </row>
    <row r="44" ht="14.25" spans="1:12">
      <c r="A44" s="103"/>
      <c r="B44" s="104"/>
      <c r="C44" s="106"/>
      <c r="D44" s="107"/>
      <c r="E44" s="97"/>
      <c r="F44" s="97"/>
      <c r="G44" s="99" t="s">
        <v>212</v>
      </c>
      <c r="H44" s="87" t="s">
        <v>169</v>
      </c>
      <c r="I44" s="114">
        <v>92</v>
      </c>
      <c r="J44" s="115">
        <f t="shared" si="0"/>
        <v>0.0092</v>
      </c>
      <c r="K44" s="116"/>
      <c r="L44" s="114"/>
    </row>
    <row r="45" ht="14.25" spans="1:12">
      <c r="A45" s="103"/>
      <c r="B45" s="104"/>
      <c r="C45" s="106"/>
      <c r="D45" s="107"/>
      <c r="E45" s="97"/>
      <c r="F45" s="97"/>
      <c r="G45" s="99" t="s">
        <v>213</v>
      </c>
      <c r="H45" s="87" t="s">
        <v>169</v>
      </c>
      <c r="I45" s="114">
        <v>58.8</v>
      </c>
      <c r="J45" s="115">
        <f t="shared" ref="J45:J58" si="1">I45/10000</f>
        <v>0.00588</v>
      </c>
      <c r="K45" s="120"/>
      <c r="L45" s="114"/>
    </row>
    <row r="46" ht="14.25" spans="1:12">
      <c r="A46" s="103"/>
      <c r="B46" s="104"/>
      <c r="C46" s="106"/>
      <c r="D46" s="107"/>
      <c r="E46" s="97"/>
      <c r="F46" s="97"/>
      <c r="G46" s="109" t="s">
        <v>214</v>
      </c>
      <c r="H46" s="87" t="s">
        <v>169</v>
      </c>
      <c r="I46" s="114">
        <v>150</v>
      </c>
      <c r="J46" s="115">
        <f t="shared" si="1"/>
        <v>0.015</v>
      </c>
      <c r="K46" s="120"/>
      <c r="L46" s="114"/>
    </row>
    <row r="47" ht="14.25" spans="1:12">
      <c r="A47" s="103"/>
      <c r="B47" s="104"/>
      <c r="C47" s="106"/>
      <c r="D47" s="107"/>
      <c r="E47" s="97"/>
      <c r="F47" s="97"/>
      <c r="G47" s="86" t="s">
        <v>215</v>
      </c>
      <c r="H47" s="87" t="s">
        <v>169</v>
      </c>
      <c r="I47" s="114">
        <v>200</v>
      </c>
      <c r="J47" s="115">
        <f t="shared" si="1"/>
        <v>0.02</v>
      </c>
      <c r="K47" s="120"/>
      <c r="L47" s="114"/>
    </row>
    <row r="48" ht="14.25" spans="1:12">
      <c r="A48" s="103"/>
      <c r="B48" s="104"/>
      <c r="C48" s="106"/>
      <c r="D48" s="107"/>
      <c r="E48" s="97"/>
      <c r="F48" s="97"/>
      <c r="G48" s="86" t="s">
        <v>216</v>
      </c>
      <c r="H48" s="87" t="s">
        <v>169</v>
      </c>
      <c r="I48" s="114">
        <v>150</v>
      </c>
      <c r="J48" s="115">
        <f t="shared" si="1"/>
        <v>0.015</v>
      </c>
      <c r="K48" s="120">
        <v>35</v>
      </c>
      <c r="L48" s="114"/>
    </row>
    <row r="49" ht="14.25" spans="1:12">
      <c r="A49" s="103"/>
      <c r="B49" s="104"/>
      <c r="C49" s="106"/>
      <c r="D49" s="107"/>
      <c r="E49" s="97"/>
      <c r="F49" s="97"/>
      <c r="G49" s="86" t="s">
        <v>217</v>
      </c>
      <c r="H49" s="87" t="s">
        <v>173</v>
      </c>
      <c r="I49" s="121">
        <v>126.6</v>
      </c>
      <c r="J49" s="115">
        <f t="shared" si="1"/>
        <v>0.01266</v>
      </c>
      <c r="K49" s="120"/>
      <c r="L49" s="121"/>
    </row>
    <row r="50" ht="14.25" spans="1:12">
      <c r="A50" s="103"/>
      <c r="B50" s="104"/>
      <c r="C50" s="106"/>
      <c r="D50" s="107"/>
      <c r="E50" s="97"/>
      <c r="F50" s="97"/>
      <c r="G50" s="86" t="s">
        <v>218</v>
      </c>
      <c r="H50" s="87" t="s">
        <v>173</v>
      </c>
      <c r="I50" s="121">
        <v>127.95</v>
      </c>
      <c r="J50" s="115">
        <f t="shared" si="1"/>
        <v>0.012795</v>
      </c>
      <c r="K50" s="120"/>
      <c r="L50" s="121"/>
    </row>
    <row r="51" ht="14.25" spans="1:12">
      <c r="A51" s="103"/>
      <c r="B51" s="104"/>
      <c r="C51" s="106"/>
      <c r="D51" s="107"/>
      <c r="E51" s="97"/>
      <c r="F51" s="97"/>
      <c r="G51" s="92" t="s">
        <v>219</v>
      </c>
      <c r="H51" s="87" t="s">
        <v>169</v>
      </c>
      <c r="I51" s="114">
        <v>12</v>
      </c>
      <c r="J51" s="115">
        <f t="shared" si="1"/>
        <v>0.0012</v>
      </c>
      <c r="K51" s="120"/>
      <c r="L51" s="114"/>
    </row>
    <row r="52" ht="14.25" spans="1:12">
      <c r="A52" s="103"/>
      <c r="B52" s="104"/>
      <c r="C52" s="106"/>
      <c r="D52" s="107"/>
      <c r="E52" s="97"/>
      <c r="F52" s="97"/>
      <c r="G52" s="92" t="s">
        <v>220</v>
      </c>
      <c r="H52" s="87" t="s">
        <v>169</v>
      </c>
      <c r="I52" s="114">
        <v>10</v>
      </c>
      <c r="J52" s="115">
        <f t="shared" si="1"/>
        <v>0.001</v>
      </c>
      <c r="K52" s="120"/>
      <c r="L52" s="114"/>
    </row>
    <row r="53" ht="14.25" spans="1:12">
      <c r="A53" s="103"/>
      <c r="B53" s="104"/>
      <c r="C53" s="106"/>
      <c r="D53" s="107"/>
      <c r="E53" s="97"/>
      <c r="F53" s="97"/>
      <c r="G53" s="109" t="s">
        <v>221</v>
      </c>
      <c r="H53" s="87" t="s">
        <v>169</v>
      </c>
      <c r="I53" s="114">
        <v>800</v>
      </c>
      <c r="J53" s="115">
        <f t="shared" si="1"/>
        <v>0.08</v>
      </c>
      <c r="K53" s="120">
        <v>-800</v>
      </c>
      <c r="L53" s="114"/>
    </row>
    <row r="54" ht="14.25" spans="1:12">
      <c r="A54" s="103"/>
      <c r="B54" s="104"/>
      <c r="C54" s="106"/>
      <c r="D54" s="107"/>
      <c r="E54" s="97"/>
      <c r="F54" s="97"/>
      <c r="G54" s="92" t="s">
        <v>222</v>
      </c>
      <c r="H54" s="87" t="s">
        <v>169</v>
      </c>
      <c r="I54" s="114">
        <v>115.2</v>
      </c>
      <c r="J54" s="115">
        <f t="shared" si="1"/>
        <v>0.01152</v>
      </c>
      <c r="K54" s="120"/>
      <c r="L54" s="114"/>
    </row>
    <row r="55" ht="14.25" spans="1:12">
      <c r="A55" s="103"/>
      <c r="B55" s="104"/>
      <c r="C55" s="106"/>
      <c r="D55" s="107"/>
      <c r="E55" s="97"/>
      <c r="F55" s="97"/>
      <c r="G55" s="92" t="s">
        <v>223</v>
      </c>
      <c r="H55" s="87" t="s">
        <v>169</v>
      </c>
      <c r="I55" s="114">
        <v>100</v>
      </c>
      <c r="J55" s="115">
        <f t="shared" si="1"/>
        <v>0.01</v>
      </c>
      <c r="K55" s="120"/>
      <c r="L55" s="114"/>
    </row>
    <row r="56" ht="14.25" spans="1:12">
      <c r="A56" s="103"/>
      <c r="B56" s="104"/>
      <c r="C56" s="106"/>
      <c r="D56" s="107"/>
      <c r="E56" s="97"/>
      <c r="F56" s="97"/>
      <c r="G56" s="92" t="s">
        <v>224</v>
      </c>
      <c r="H56" s="87" t="s">
        <v>169</v>
      </c>
      <c r="I56" s="114">
        <v>135</v>
      </c>
      <c r="J56" s="115">
        <f t="shared" si="1"/>
        <v>0.0135</v>
      </c>
      <c r="K56" s="120"/>
      <c r="L56" s="114"/>
    </row>
    <row r="57" ht="14.25" spans="1:12">
      <c r="A57" s="103"/>
      <c r="B57" s="104"/>
      <c r="C57" s="106"/>
      <c r="D57" s="107"/>
      <c r="E57" s="97"/>
      <c r="F57" s="97"/>
      <c r="G57" s="92" t="s">
        <v>225</v>
      </c>
      <c r="H57" s="87" t="s">
        <v>169</v>
      </c>
      <c r="I57" s="114">
        <v>100</v>
      </c>
      <c r="J57" s="115">
        <f t="shared" si="1"/>
        <v>0.01</v>
      </c>
      <c r="K57" s="120"/>
      <c r="L57" s="114"/>
    </row>
    <row r="58" ht="14.25" spans="1:12">
      <c r="A58" s="103"/>
      <c r="B58" s="104"/>
      <c r="C58" s="106"/>
      <c r="D58" s="107"/>
      <c r="E58" s="97"/>
      <c r="F58" s="97"/>
      <c r="G58" s="86" t="s">
        <v>226</v>
      </c>
      <c r="H58" s="87" t="s">
        <v>169</v>
      </c>
      <c r="I58" s="114">
        <v>180</v>
      </c>
      <c r="J58" s="115">
        <f t="shared" si="1"/>
        <v>0.018</v>
      </c>
      <c r="K58" s="120"/>
      <c r="L58" s="114"/>
    </row>
    <row r="59" ht="14.25" spans="1:12">
      <c r="A59" s="103"/>
      <c r="B59" s="104"/>
      <c r="C59" s="106"/>
      <c r="D59" s="107"/>
      <c r="E59" s="97"/>
      <c r="F59" s="97"/>
      <c r="G59" s="110" t="s">
        <v>227</v>
      </c>
      <c r="H59" s="87" t="s">
        <v>169</v>
      </c>
      <c r="I59" s="115"/>
      <c r="J59" s="115"/>
      <c r="K59" s="120">
        <v>130</v>
      </c>
      <c r="L59" s="122"/>
    </row>
    <row r="60" ht="14.25" spans="1:12">
      <c r="A60" s="103"/>
      <c r="B60" s="104"/>
      <c r="C60" s="106"/>
      <c r="D60" s="107"/>
      <c r="E60" s="97"/>
      <c r="F60" s="97"/>
      <c r="G60" s="110" t="s">
        <v>228</v>
      </c>
      <c r="H60" s="87" t="s">
        <v>169</v>
      </c>
      <c r="I60" s="115"/>
      <c r="J60" s="115"/>
      <c r="K60" s="120">
        <v>200</v>
      </c>
      <c r="L60" s="120">
        <v>280</v>
      </c>
    </row>
    <row r="61" ht="14.25" spans="1:12">
      <c r="A61" s="103"/>
      <c r="B61" s="104"/>
      <c r="C61" s="106"/>
      <c r="D61" s="107"/>
      <c r="E61" s="97"/>
      <c r="F61" s="97"/>
      <c r="G61" s="110" t="s">
        <v>229</v>
      </c>
      <c r="H61" s="87" t="s">
        <v>169</v>
      </c>
      <c r="I61" s="115"/>
      <c r="J61" s="115"/>
      <c r="K61" s="120">
        <v>10</v>
      </c>
      <c r="L61" s="120">
        <v>12</v>
      </c>
    </row>
    <row r="62" ht="14.25" spans="1:12">
      <c r="A62" s="103"/>
      <c r="B62" s="104"/>
      <c r="C62" s="106"/>
      <c r="D62" s="107"/>
      <c r="E62" s="97"/>
      <c r="F62" s="97"/>
      <c r="G62" s="111" t="s">
        <v>230</v>
      </c>
      <c r="H62" s="87" t="s">
        <v>169</v>
      </c>
      <c r="I62" s="115"/>
      <c r="J62" s="115"/>
      <c r="K62" s="120">
        <v>79</v>
      </c>
      <c r="L62" s="122"/>
    </row>
    <row r="63" ht="14.25" spans="1:12">
      <c r="A63" s="103"/>
      <c r="B63" s="104"/>
      <c r="C63" s="106"/>
      <c r="D63" s="107"/>
      <c r="E63" s="97"/>
      <c r="F63" s="97"/>
      <c r="G63" s="110" t="s">
        <v>231</v>
      </c>
      <c r="H63" s="87" t="s">
        <v>169</v>
      </c>
      <c r="I63" s="115"/>
      <c r="J63" s="115"/>
      <c r="K63" s="120">
        <v>17</v>
      </c>
      <c r="L63" s="122"/>
    </row>
    <row r="64" ht="14.25" spans="1:12">
      <c r="A64" s="103"/>
      <c r="B64" s="104"/>
      <c r="C64" s="106"/>
      <c r="D64" s="107"/>
      <c r="E64" s="97"/>
      <c r="F64" s="97"/>
      <c r="G64" s="86" t="s">
        <v>232</v>
      </c>
      <c r="H64" s="87" t="s">
        <v>169</v>
      </c>
      <c r="I64" s="114"/>
      <c r="J64" s="115"/>
      <c r="K64" s="120"/>
      <c r="L64" s="123"/>
    </row>
    <row r="65" ht="14.25" spans="1:12">
      <c r="A65" s="103"/>
      <c r="B65" s="104"/>
      <c r="C65" s="106"/>
      <c r="D65" s="107"/>
      <c r="E65" s="97"/>
      <c r="F65" s="97"/>
      <c r="G65" s="110" t="s">
        <v>233</v>
      </c>
      <c r="H65" s="87" t="s">
        <v>169</v>
      </c>
      <c r="I65" s="115"/>
      <c r="J65" s="115"/>
      <c r="K65" s="120"/>
      <c r="L65" s="122"/>
    </row>
    <row r="66" ht="14.25" spans="1:12">
      <c r="A66" s="103"/>
      <c r="B66" s="104"/>
      <c r="C66" s="106"/>
      <c r="D66" s="107"/>
      <c r="E66" s="97"/>
      <c r="F66" s="97"/>
      <c r="G66" s="110" t="s">
        <v>234</v>
      </c>
      <c r="H66" s="87" t="s">
        <v>169</v>
      </c>
      <c r="I66" s="115"/>
      <c r="J66" s="115"/>
      <c r="K66" s="120"/>
      <c r="L66" s="122"/>
    </row>
    <row r="67" ht="14.25" spans="1:12">
      <c r="A67" s="103"/>
      <c r="B67" s="104"/>
      <c r="C67" s="106"/>
      <c r="D67" s="107"/>
      <c r="E67" s="97"/>
      <c r="F67" s="97"/>
      <c r="G67" s="110" t="s">
        <v>235</v>
      </c>
      <c r="H67" s="87"/>
      <c r="I67" s="115"/>
      <c r="J67" s="115"/>
      <c r="K67" s="120"/>
      <c r="L67" s="122">
        <v>16000</v>
      </c>
    </row>
    <row r="68" s="65" customFormat="1" spans="1:12">
      <c r="A68" s="103"/>
      <c r="B68" s="124" t="s">
        <v>236</v>
      </c>
      <c r="C68" s="125">
        <f>SUM(C6:C31)</f>
        <v>106000000</v>
      </c>
      <c r="D68" s="125">
        <f>SUM(D6:D7)</f>
        <v>10600</v>
      </c>
      <c r="E68" s="125">
        <f>SUM(E6:E14)</f>
        <v>0</v>
      </c>
      <c r="F68" s="125">
        <f>SUM(F6:F11)</f>
        <v>17400</v>
      </c>
      <c r="G68" s="124" t="s">
        <v>237</v>
      </c>
      <c r="H68" s="126"/>
      <c r="I68" s="127">
        <f>SUM(I6:I67)</f>
        <v>10600</v>
      </c>
      <c r="J68" s="127">
        <f>SUM(J6:J67)</f>
        <v>1.06</v>
      </c>
      <c r="K68" s="127">
        <f>SUM(K6:K67)</f>
        <v>-2329</v>
      </c>
      <c r="L68" s="127">
        <f>SUM(L6:L67)</f>
        <v>17400</v>
      </c>
    </row>
  </sheetData>
  <mergeCells count="6">
    <mergeCell ref="A2:L2"/>
    <mergeCell ref="A3:E3"/>
    <mergeCell ref="G3:H3"/>
    <mergeCell ref="I3:L3"/>
    <mergeCell ref="A4:F4"/>
    <mergeCell ref="G4:L4"/>
  </mergeCells>
  <pageMargins left="0.196527777777778" right="0.209027777777778" top="0.729166666666667" bottom="0.159027777777778" header="0.313888888888889" footer="0.259027777777778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3" sqref="C3"/>
    </sheetView>
  </sheetViews>
  <sheetFormatPr defaultColWidth="9" defaultRowHeight="13.5" outlineLevelCol="3"/>
  <cols>
    <col min="1" max="1" width="6.25" customWidth="1"/>
    <col min="2" max="2" width="18.75" customWidth="1"/>
    <col min="3" max="3" width="78" style="25" customWidth="1"/>
    <col min="4" max="4" width="18" customWidth="1"/>
  </cols>
  <sheetData>
    <row r="1" ht="26.25" customHeight="1" spans="1:1">
      <c r="A1" t="s">
        <v>238</v>
      </c>
    </row>
    <row r="2" ht="25.5" spans="1:4">
      <c r="A2" s="40" t="s">
        <v>239</v>
      </c>
      <c r="B2" s="40"/>
      <c r="C2" s="40"/>
      <c r="D2" s="40"/>
    </row>
    <row r="3" ht="26.25" customHeight="1" spans="1:4">
      <c r="A3" s="41" t="s">
        <v>240</v>
      </c>
      <c r="B3" s="41"/>
      <c r="C3" s="42">
        <v>43817</v>
      </c>
      <c r="D3" s="43" t="s">
        <v>157</v>
      </c>
    </row>
    <row r="4" s="37" customFormat="1" ht="18.75" spans="1:4">
      <c r="A4" s="44" t="s">
        <v>160</v>
      </c>
      <c r="B4" s="44" t="s">
        <v>241</v>
      </c>
      <c r="C4" s="44" t="s">
        <v>242</v>
      </c>
      <c r="D4" s="45" t="s">
        <v>243</v>
      </c>
    </row>
    <row r="5" s="37" customFormat="1" ht="30" customHeight="1" spans="1:4">
      <c r="A5" s="44">
        <v>1</v>
      </c>
      <c r="B5" s="46" t="s">
        <v>244</v>
      </c>
      <c r="C5" s="46" t="s">
        <v>245</v>
      </c>
      <c r="D5" s="47">
        <v>4159</v>
      </c>
    </row>
    <row r="6" s="38" customFormat="1" ht="18.75" spans="1:4">
      <c r="A6" s="48"/>
      <c r="B6" s="49"/>
      <c r="C6" s="50" t="s">
        <v>246</v>
      </c>
      <c r="D6" s="51">
        <f>SUM(D5:D5)</f>
        <v>4159</v>
      </c>
    </row>
    <row r="7" s="37" customFormat="1" ht="20.25" spans="1:4">
      <c r="A7" s="44">
        <v>8</v>
      </c>
      <c r="B7" s="46" t="s">
        <v>247</v>
      </c>
      <c r="C7" s="46" t="s">
        <v>248</v>
      </c>
      <c r="D7" s="47">
        <v>100</v>
      </c>
    </row>
    <row r="8" s="37" customFormat="1" ht="20.25" spans="1:4">
      <c r="A8" s="44">
        <v>9</v>
      </c>
      <c r="B8" s="46" t="s">
        <v>249</v>
      </c>
      <c r="C8" s="46" t="s">
        <v>250</v>
      </c>
      <c r="D8" s="47">
        <v>200</v>
      </c>
    </row>
    <row r="9" s="37" customFormat="1" ht="20.25" spans="1:4">
      <c r="A9" s="44">
        <v>10</v>
      </c>
      <c r="B9" s="46" t="s">
        <v>251</v>
      </c>
      <c r="C9" s="46" t="s">
        <v>252</v>
      </c>
      <c r="D9" s="47">
        <v>400</v>
      </c>
    </row>
    <row r="10" s="37" customFormat="1" ht="20.25" spans="1:4">
      <c r="A10" s="44">
        <v>11</v>
      </c>
      <c r="B10" s="52" t="s">
        <v>253</v>
      </c>
      <c r="C10" s="46" t="s">
        <v>254</v>
      </c>
      <c r="D10" s="47">
        <v>400</v>
      </c>
    </row>
    <row r="11" s="37" customFormat="1" ht="20.25" spans="1:4">
      <c r="A11" s="44">
        <v>12</v>
      </c>
      <c r="B11" s="46" t="s">
        <v>255</v>
      </c>
      <c r="C11" s="46" t="s">
        <v>256</v>
      </c>
      <c r="D11" s="47">
        <v>200</v>
      </c>
    </row>
    <row r="12" s="37" customFormat="1" ht="20.25" spans="1:4">
      <c r="A12" s="44">
        <v>13</v>
      </c>
      <c r="B12" s="52" t="s">
        <v>253</v>
      </c>
      <c r="C12" s="46" t="s">
        <v>257</v>
      </c>
      <c r="D12" s="47">
        <v>200</v>
      </c>
    </row>
    <row r="13" s="37" customFormat="1" ht="20.25" spans="1:4">
      <c r="A13" s="44">
        <v>14</v>
      </c>
      <c r="B13" s="52" t="s">
        <v>253</v>
      </c>
      <c r="C13" s="46" t="s">
        <v>258</v>
      </c>
      <c r="D13" s="47">
        <v>1000</v>
      </c>
    </row>
    <row r="14" s="37" customFormat="1" ht="20.25" spans="1:4">
      <c r="A14" s="44">
        <v>15</v>
      </c>
      <c r="B14" s="46" t="s">
        <v>259</v>
      </c>
      <c r="C14" s="46" t="s">
        <v>260</v>
      </c>
      <c r="D14" s="53">
        <v>500</v>
      </c>
    </row>
    <row r="15" s="37" customFormat="1" ht="20.25" spans="1:4">
      <c r="A15" s="44">
        <v>16</v>
      </c>
      <c r="B15" s="54" t="s">
        <v>261</v>
      </c>
      <c r="C15" s="46" t="s">
        <v>262</v>
      </c>
      <c r="D15" s="47">
        <v>200</v>
      </c>
    </row>
    <row r="16" s="37" customFormat="1" ht="18.75" spans="1:4">
      <c r="A16" s="44"/>
      <c r="B16" s="55"/>
      <c r="C16" s="56" t="s">
        <v>263</v>
      </c>
      <c r="D16" s="51">
        <f>SUM(D7:D15)</f>
        <v>3200</v>
      </c>
    </row>
    <row r="17" s="37" customFormat="1" ht="18.75" spans="1:4">
      <c r="A17" s="44"/>
      <c r="B17" s="55"/>
      <c r="C17" s="57" t="s">
        <v>264</v>
      </c>
      <c r="D17" s="51">
        <f>D6+D16</f>
        <v>7359</v>
      </c>
    </row>
    <row r="18" s="37" customFormat="1" ht="18.75" spans="1:4">
      <c r="A18" s="44">
        <v>1</v>
      </c>
      <c r="B18" s="55"/>
      <c r="C18" s="58" t="s">
        <v>265</v>
      </c>
      <c r="D18" s="59">
        <v>1700</v>
      </c>
    </row>
    <row r="19" s="37" customFormat="1" ht="18.75" spans="1:4">
      <c r="A19" s="44"/>
      <c r="B19" s="55"/>
      <c r="C19" s="60" t="s">
        <v>266</v>
      </c>
      <c r="D19" s="51">
        <f>SUM(D18:D18)</f>
        <v>1700</v>
      </c>
    </row>
    <row r="20" s="37" customFormat="1" ht="20.25" spans="1:4">
      <c r="A20" s="44"/>
      <c r="B20" s="54" t="s">
        <v>267</v>
      </c>
      <c r="C20" s="46" t="s">
        <v>268</v>
      </c>
      <c r="D20" s="47">
        <v>2000</v>
      </c>
    </row>
    <row r="21" s="37" customFormat="1" ht="20.25" spans="1:4">
      <c r="A21" s="44">
        <v>1</v>
      </c>
      <c r="B21" s="54" t="s">
        <v>269</v>
      </c>
      <c r="C21" s="46" t="s">
        <v>270</v>
      </c>
      <c r="D21" s="47">
        <v>2500</v>
      </c>
    </row>
    <row r="22" s="37" customFormat="1" ht="18.75" spans="1:4">
      <c r="A22" s="55"/>
      <c r="B22" s="55"/>
      <c r="C22" s="61" t="s">
        <v>271</v>
      </c>
      <c r="D22" s="62">
        <f>D20+D21</f>
        <v>4500</v>
      </c>
    </row>
    <row r="23" s="37" customFormat="1" ht="18.75" spans="1:4">
      <c r="A23" s="55"/>
      <c r="B23" s="55"/>
      <c r="C23" s="61"/>
      <c r="D23" s="62"/>
    </row>
    <row r="24" s="37" customFormat="1" ht="18.75" spans="1:4">
      <c r="A24" s="55"/>
      <c r="B24" s="55"/>
      <c r="C24" s="57" t="s">
        <v>272</v>
      </c>
      <c r="D24" s="62">
        <f>D22+D19+D17</f>
        <v>13559</v>
      </c>
    </row>
    <row r="25" s="39" customFormat="1" ht="18" spans="3:3">
      <c r="C25" s="63"/>
    </row>
  </sheetData>
  <mergeCells count="2">
    <mergeCell ref="A2:D2"/>
    <mergeCell ref="A3:B3"/>
  </mergeCells>
  <pageMargins left="0.94375" right="0.393055555555556" top="0.9" bottom="0.36875" header="0.379166666666667" footer="0.529166666666667"/>
  <pageSetup paperSize="9" orientation="landscape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C3" sqref="C3"/>
    </sheetView>
  </sheetViews>
  <sheetFormatPr defaultColWidth="9" defaultRowHeight="14.25" outlineLevelCol="5"/>
  <cols>
    <col min="1" max="1" width="3.25" style="25" customWidth="1"/>
    <col min="2" max="2" width="11.375" style="25" customWidth="1"/>
    <col min="3" max="3" width="67.25" style="25" customWidth="1"/>
    <col min="4" max="4" width="8.625" style="25" customWidth="1"/>
    <col min="5" max="5" width="8.375" style="26" customWidth="1"/>
    <col min="6" max="6" width="43.25" style="25" customWidth="1"/>
    <col min="7" max="16384" width="9" style="25"/>
  </cols>
  <sheetData>
    <row r="1" ht="27" customHeight="1" spans="1:2">
      <c r="A1" s="27" t="s">
        <v>273</v>
      </c>
      <c r="B1" s="27"/>
    </row>
    <row r="2" s="21" customFormat="1" ht="25.5" customHeight="1" spans="1:6">
      <c r="A2" s="1" t="s">
        <v>274</v>
      </c>
      <c r="B2" s="1"/>
      <c r="C2" s="1"/>
      <c r="D2" s="1"/>
      <c r="E2" s="1"/>
      <c r="F2" s="1"/>
    </row>
    <row r="3" ht="27" customHeight="1" spans="1:6">
      <c r="A3" s="2" t="s">
        <v>240</v>
      </c>
      <c r="B3" s="2"/>
      <c r="C3" s="3">
        <v>43817</v>
      </c>
      <c r="D3" s="4"/>
      <c r="E3" s="4"/>
      <c r="F3" s="5" t="s">
        <v>4</v>
      </c>
    </row>
    <row r="4" s="22" customFormat="1" ht="37.5" spans="1:6">
      <c r="A4" s="6" t="s">
        <v>160</v>
      </c>
      <c r="B4" s="6" t="s">
        <v>275</v>
      </c>
      <c r="C4" s="6" t="s">
        <v>276</v>
      </c>
      <c r="D4" s="6" t="s">
        <v>277</v>
      </c>
      <c r="E4" s="6" t="s">
        <v>278</v>
      </c>
      <c r="F4" s="6" t="s">
        <v>279</v>
      </c>
    </row>
    <row r="5" s="22" customFormat="1" ht="18.75" spans="1:6">
      <c r="A5" s="7">
        <v>1</v>
      </c>
      <c r="B5" s="7" t="s">
        <v>280</v>
      </c>
      <c r="C5" s="7" t="s">
        <v>281</v>
      </c>
      <c r="D5" s="8">
        <v>500</v>
      </c>
      <c r="E5" s="7">
        <v>2019999</v>
      </c>
      <c r="F5" s="7" t="s">
        <v>282</v>
      </c>
    </row>
    <row r="6" s="22" customFormat="1" ht="30" customHeight="1" spans="1:6">
      <c r="A6" s="7">
        <v>2</v>
      </c>
      <c r="B6" s="18" t="s">
        <v>283</v>
      </c>
      <c r="C6" s="28" t="s">
        <v>284</v>
      </c>
      <c r="D6" s="8">
        <v>1280</v>
      </c>
      <c r="E6" s="18">
        <v>2019999</v>
      </c>
      <c r="F6" s="7" t="s">
        <v>285</v>
      </c>
    </row>
    <row r="7" s="22" customFormat="1" ht="18.75" spans="1:6">
      <c r="A7" s="7">
        <v>3</v>
      </c>
      <c r="B7" s="11" t="s">
        <v>283</v>
      </c>
      <c r="C7" s="9" t="s">
        <v>286</v>
      </c>
      <c r="D7" s="10">
        <v>457.74</v>
      </c>
      <c r="E7" s="11">
        <v>2019999</v>
      </c>
      <c r="F7" s="9" t="s">
        <v>282</v>
      </c>
    </row>
    <row r="8" s="22" customFormat="1" ht="18.75" spans="1:6">
      <c r="A8" s="7">
        <v>4</v>
      </c>
      <c r="B8" s="11" t="s">
        <v>283</v>
      </c>
      <c r="C8" s="11" t="s">
        <v>287</v>
      </c>
      <c r="D8" s="10">
        <v>250</v>
      </c>
      <c r="E8" s="11">
        <v>2010399</v>
      </c>
      <c r="F8" s="9" t="s">
        <v>282</v>
      </c>
    </row>
    <row r="9" s="22" customFormat="1" ht="18.75" spans="1:6">
      <c r="A9" s="7">
        <v>5</v>
      </c>
      <c r="B9" s="9" t="s">
        <v>283</v>
      </c>
      <c r="C9" s="9" t="s">
        <v>288</v>
      </c>
      <c r="D9" s="10">
        <v>1100</v>
      </c>
      <c r="E9" s="9">
        <v>2019999</v>
      </c>
      <c r="F9" s="9" t="s">
        <v>282</v>
      </c>
    </row>
    <row r="10" s="22" customFormat="1" ht="18.75" spans="1:6">
      <c r="A10" s="7">
        <v>6</v>
      </c>
      <c r="B10" s="12" t="s">
        <v>289</v>
      </c>
      <c r="C10" s="11" t="s">
        <v>290</v>
      </c>
      <c r="D10" s="10">
        <v>100</v>
      </c>
      <c r="E10" s="11">
        <v>2129901</v>
      </c>
      <c r="F10" s="11"/>
    </row>
    <row r="11" s="22" customFormat="1" ht="18.75" spans="1:6">
      <c r="A11" s="7">
        <v>7</v>
      </c>
      <c r="B11" s="12" t="s">
        <v>291</v>
      </c>
      <c r="C11" s="17" t="s">
        <v>292</v>
      </c>
      <c r="D11" s="16">
        <v>200</v>
      </c>
      <c r="E11" s="11">
        <v>2129901</v>
      </c>
      <c r="F11" s="11"/>
    </row>
    <row r="12" s="22" customFormat="1" ht="18.75" spans="1:6">
      <c r="A12" s="7">
        <v>8</v>
      </c>
      <c r="B12" s="29" t="s">
        <v>291</v>
      </c>
      <c r="C12" s="30" t="s">
        <v>293</v>
      </c>
      <c r="D12" s="31">
        <v>200</v>
      </c>
      <c r="E12" s="11">
        <v>2129901</v>
      </c>
      <c r="F12" s="11"/>
    </row>
    <row r="13" s="22" customFormat="1" ht="18.75" spans="1:6">
      <c r="A13" s="7">
        <v>9</v>
      </c>
      <c r="B13" s="32" t="s">
        <v>291</v>
      </c>
      <c r="C13" s="30" t="s">
        <v>294</v>
      </c>
      <c r="D13" s="31">
        <v>300</v>
      </c>
      <c r="E13" s="11">
        <v>2129901</v>
      </c>
      <c r="F13" s="11"/>
    </row>
    <row r="14" s="22" customFormat="1" ht="18.75" spans="1:6">
      <c r="A14" s="7">
        <v>10</v>
      </c>
      <c r="B14" s="12" t="s">
        <v>295</v>
      </c>
      <c r="C14" s="17" t="s">
        <v>296</v>
      </c>
      <c r="D14" s="16">
        <v>150</v>
      </c>
      <c r="E14" s="7">
        <v>2120399</v>
      </c>
      <c r="F14" s="7"/>
    </row>
    <row r="15" s="22" customFormat="1" ht="18.75" spans="1:6">
      <c r="A15" s="7">
        <v>11</v>
      </c>
      <c r="B15" s="33" t="s">
        <v>251</v>
      </c>
      <c r="C15" s="34" t="s">
        <v>297</v>
      </c>
      <c r="D15" s="35">
        <v>150</v>
      </c>
      <c r="E15" s="7">
        <v>2129901</v>
      </c>
      <c r="F15" s="7"/>
    </row>
    <row r="16" s="22" customFormat="1" ht="18.75" spans="1:6">
      <c r="A16" s="7">
        <v>12</v>
      </c>
      <c r="B16" s="12" t="s">
        <v>298</v>
      </c>
      <c r="C16" s="17" t="s">
        <v>299</v>
      </c>
      <c r="D16" s="16">
        <v>152.26</v>
      </c>
      <c r="E16" s="7">
        <v>2019999</v>
      </c>
      <c r="F16" s="7"/>
    </row>
    <row r="17" s="22" customFormat="1" ht="18.75" spans="1:6">
      <c r="A17" s="7">
        <v>13</v>
      </c>
      <c r="B17" s="12" t="s">
        <v>259</v>
      </c>
      <c r="C17" s="17" t="s">
        <v>300</v>
      </c>
      <c r="D17" s="16">
        <v>160</v>
      </c>
      <c r="E17" s="7">
        <v>2120399</v>
      </c>
      <c r="F17" s="7"/>
    </row>
    <row r="18" s="22" customFormat="1" ht="18.75" spans="1:6">
      <c r="A18" s="7"/>
      <c r="B18" s="7"/>
      <c r="C18" s="7"/>
      <c r="D18" s="8"/>
      <c r="E18" s="7"/>
      <c r="F18" s="7"/>
    </row>
    <row r="19" s="22" customFormat="1" ht="18.75" spans="1:6">
      <c r="A19" s="7"/>
      <c r="B19" s="7"/>
      <c r="C19" s="7"/>
      <c r="D19" s="8"/>
      <c r="E19" s="7"/>
      <c r="F19" s="7"/>
    </row>
    <row r="20" s="22" customFormat="1" ht="18.75" spans="1:6">
      <c r="A20" s="7"/>
      <c r="B20" s="7"/>
      <c r="C20" s="7"/>
      <c r="D20" s="8"/>
      <c r="E20" s="7"/>
      <c r="F20" s="7"/>
    </row>
    <row r="21" s="22" customFormat="1" ht="18.75" spans="1:6">
      <c r="A21" s="7"/>
      <c r="B21" s="7"/>
      <c r="C21" s="7"/>
      <c r="D21" s="8"/>
      <c r="E21" s="7"/>
      <c r="F21" s="7"/>
    </row>
    <row r="22" s="23" customFormat="1" ht="18.75" spans="1:6">
      <c r="A22" s="7"/>
      <c r="B22" s="7"/>
      <c r="C22" s="8" t="s">
        <v>301</v>
      </c>
      <c r="D22" s="19">
        <f>SUM(D5:D21)</f>
        <v>5000</v>
      </c>
      <c r="E22" s="20"/>
      <c r="F22" s="7"/>
    </row>
    <row r="23" s="24" customFormat="1" ht="18.75" spans="1:6">
      <c r="A23" s="36"/>
      <c r="B23" s="36"/>
      <c r="C23" s="36"/>
      <c r="D23" s="36"/>
      <c r="E23" s="36"/>
      <c r="F23" s="36"/>
    </row>
  </sheetData>
  <mergeCells count="4">
    <mergeCell ref="A1:B1"/>
    <mergeCell ref="A2:F2"/>
    <mergeCell ref="A3:B3"/>
    <mergeCell ref="A23:F23"/>
  </mergeCells>
  <pageMargins left="0.354166666666667" right="0.15625" top="0.865277777777778" bottom="0.55" header="0.313888888888889" footer="0.313888888888889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C4" sqref="C4"/>
    </sheetView>
  </sheetViews>
  <sheetFormatPr defaultColWidth="23" defaultRowHeight="13.5" outlineLevelCol="5"/>
  <cols>
    <col min="1" max="1" width="6.625" customWidth="1"/>
    <col min="2" max="2" width="13.875" customWidth="1"/>
    <col min="3" max="3" width="46.625" customWidth="1"/>
    <col min="4" max="4" width="12" customWidth="1"/>
    <col min="5" max="5" width="9.375" customWidth="1"/>
    <col min="6" max="6" width="33.125" customWidth="1"/>
    <col min="7" max="16384" width="30.375" customWidth="1"/>
  </cols>
  <sheetData>
    <row r="1" ht="25.5" spans="1:6">
      <c r="A1" s="1" t="s">
        <v>302</v>
      </c>
      <c r="B1" s="1"/>
      <c r="C1" s="1"/>
      <c r="D1" s="1"/>
      <c r="E1" s="1"/>
      <c r="F1" s="1"/>
    </row>
    <row r="2" ht="14.25" spans="1:6">
      <c r="A2" s="2" t="s">
        <v>240</v>
      </c>
      <c r="B2" s="2"/>
      <c r="C2" s="3">
        <v>43817</v>
      </c>
      <c r="D2" s="4"/>
      <c r="E2" s="4"/>
      <c r="F2" s="5" t="s">
        <v>4</v>
      </c>
    </row>
    <row r="3" ht="18.75" spans="1:6">
      <c r="A3" s="6" t="s">
        <v>160</v>
      </c>
      <c r="B3" s="6" t="s">
        <v>275</v>
      </c>
      <c r="C3" s="6" t="s">
        <v>276</v>
      </c>
      <c r="D3" s="6" t="s">
        <v>277</v>
      </c>
      <c r="E3" s="6" t="s">
        <v>278</v>
      </c>
      <c r="F3" s="6" t="s">
        <v>279</v>
      </c>
    </row>
    <row r="4" ht="14.25" spans="1:6">
      <c r="A4" s="7">
        <v>1</v>
      </c>
      <c r="B4" s="7" t="s">
        <v>291</v>
      </c>
      <c r="C4" s="7" t="s">
        <v>303</v>
      </c>
      <c r="D4" s="8">
        <v>75</v>
      </c>
      <c r="E4" s="7">
        <v>2120303</v>
      </c>
      <c r="F4" s="7"/>
    </row>
    <row r="5" ht="14.25" spans="1:6">
      <c r="A5" s="7">
        <v>2</v>
      </c>
      <c r="B5" s="7" t="s">
        <v>304</v>
      </c>
      <c r="C5" s="9" t="s">
        <v>305</v>
      </c>
      <c r="D5" s="10">
        <v>1000</v>
      </c>
      <c r="E5" s="11">
        <v>2010399</v>
      </c>
      <c r="F5" s="9"/>
    </row>
    <row r="6" ht="14.25" spans="1:6">
      <c r="A6" s="7">
        <v>3</v>
      </c>
      <c r="B6" s="11" t="s">
        <v>283</v>
      </c>
      <c r="C6" s="11" t="s">
        <v>306</v>
      </c>
      <c r="D6" s="10">
        <v>1256</v>
      </c>
      <c r="E6" s="11">
        <v>2010399</v>
      </c>
      <c r="F6" s="9" t="s">
        <v>282</v>
      </c>
    </row>
    <row r="7" ht="14.25" spans="1:6">
      <c r="A7" s="7">
        <v>4</v>
      </c>
      <c r="B7" s="9" t="s">
        <v>283</v>
      </c>
      <c r="C7" s="9" t="s">
        <v>307</v>
      </c>
      <c r="D7" s="10">
        <v>6389</v>
      </c>
      <c r="E7" s="9">
        <v>2129901</v>
      </c>
      <c r="F7" s="9" t="s">
        <v>308</v>
      </c>
    </row>
    <row r="8" ht="14.25" spans="1:6">
      <c r="A8" s="7">
        <v>5</v>
      </c>
      <c r="B8" s="12" t="s">
        <v>309</v>
      </c>
      <c r="C8" s="13" t="s">
        <v>310</v>
      </c>
      <c r="D8" s="14">
        <v>127</v>
      </c>
      <c r="E8" s="11">
        <v>2040219</v>
      </c>
      <c r="F8" s="11"/>
    </row>
    <row r="9" ht="14.25" spans="1:6">
      <c r="A9" s="7">
        <v>6</v>
      </c>
      <c r="B9" s="12" t="s">
        <v>309</v>
      </c>
      <c r="C9" s="13" t="s">
        <v>311</v>
      </c>
      <c r="D9" s="14">
        <v>128</v>
      </c>
      <c r="E9" s="11">
        <v>2040219</v>
      </c>
      <c r="F9" s="11"/>
    </row>
    <row r="10" ht="14.25" spans="1:6">
      <c r="A10" s="7">
        <v>7</v>
      </c>
      <c r="B10" s="12" t="s">
        <v>280</v>
      </c>
      <c r="C10" s="15" t="s">
        <v>312</v>
      </c>
      <c r="D10" s="16">
        <v>3977</v>
      </c>
      <c r="E10" s="11">
        <v>201999</v>
      </c>
      <c r="F10" s="11"/>
    </row>
    <row r="11" ht="14.25" spans="1:6">
      <c r="A11" s="7">
        <v>8</v>
      </c>
      <c r="B11" s="17" t="s">
        <v>298</v>
      </c>
      <c r="C11" s="15" t="s">
        <v>313</v>
      </c>
      <c r="D11" s="16">
        <v>66</v>
      </c>
      <c r="E11" s="11">
        <v>2129901</v>
      </c>
      <c r="F11" s="11"/>
    </row>
    <row r="12" ht="14.25" spans="1:6">
      <c r="A12" s="7">
        <v>9</v>
      </c>
      <c r="B12" s="12" t="s">
        <v>291</v>
      </c>
      <c r="C12" s="17" t="s">
        <v>314</v>
      </c>
      <c r="D12" s="16">
        <v>300</v>
      </c>
      <c r="E12" s="7">
        <v>2120303</v>
      </c>
      <c r="F12" s="7"/>
    </row>
    <row r="13" ht="14.25" spans="1:6">
      <c r="A13" s="7">
        <v>10</v>
      </c>
      <c r="B13" s="18" t="s">
        <v>291</v>
      </c>
      <c r="C13" s="17" t="s">
        <v>315</v>
      </c>
      <c r="D13" s="8">
        <v>1000</v>
      </c>
      <c r="E13" s="18">
        <v>2120399</v>
      </c>
      <c r="F13" s="7"/>
    </row>
    <row r="14" ht="14.25" spans="1:6">
      <c r="A14" s="7">
        <v>11</v>
      </c>
      <c r="B14" s="12" t="s">
        <v>291</v>
      </c>
      <c r="C14" s="17" t="s">
        <v>316</v>
      </c>
      <c r="D14" s="16">
        <v>400</v>
      </c>
      <c r="E14" s="7">
        <v>2120303</v>
      </c>
      <c r="F14" s="7"/>
    </row>
    <row r="15" ht="14.25" spans="1:6">
      <c r="A15" s="7">
        <v>12</v>
      </c>
      <c r="B15" s="12" t="s">
        <v>291</v>
      </c>
      <c r="C15" s="17" t="s">
        <v>317</v>
      </c>
      <c r="D15" s="16">
        <v>300</v>
      </c>
      <c r="E15" s="7">
        <v>2120303</v>
      </c>
      <c r="F15" s="7"/>
    </row>
    <row r="16" ht="14.25" spans="1:6">
      <c r="A16" s="7">
        <v>13</v>
      </c>
      <c r="B16" s="12" t="s">
        <v>280</v>
      </c>
      <c r="C16" s="17" t="s">
        <v>318</v>
      </c>
      <c r="D16" s="16">
        <v>100</v>
      </c>
      <c r="E16" s="7">
        <v>2320304</v>
      </c>
      <c r="F16" s="7"/>
    </row>
    <row r="17" ht="14.25" spans="1:6">
      <c r="A17" s="7">
        <v>14</v>
      </c>
      <c r="B17" s="7" t="s">
        <v>280</v>
      </c>
      <c r="C17" s="7" t="s">
        <v>319</v>
      </c>
      <c r="D17" s="8">
        <v>215</v>
      </c>
      <c r="E17" s="7">
        <v>2019999</v>
      </c>
      <c r="F17" s="7"/>
    </row>
    <row r="18" ht="14.25" spans="1:6">
      <c r="A18" s="7">
        <v>15</v>
      </c>
      <c r="B18" s="7" t="s">
        <v>320</v>
      </c>
      <c r="C18" s="7" t="s">
        <v>321</v>
      </c>
      <c r="D18" s="8">
        <v>200</v>
      </c>
      <c r="E18" s="7">
        <v>2040220</v>
      </c>
      <c r="F18" s="7"/>
    </row>
    <row r="19" ht="14.25" spans="1:6">
      <c r="A19" s="7">
        <v>16</v>
      </c>
      <c r="B19" s="7" t="s">
        <v>304</v>
      </c>
      <c r="C19" s="7" t="s">
        <v>322</v>
      </c>
      <c r="D19" s="8">
        <v>300</v>
      </c>
      <c r="E19" s="7">
        <v>2010399</v>
      </c>
      <c r="F19" s="7"/>
    </row>
    <row r="20" ht="14.25" spans="1:6">
      <c r="A20" s="7">
        <v>17</v>
      </c>
      <c r="B20" s="7" t="s">
        <v>304</v>
      </c>
      <c r="C20" s="7" t="s">
        <v>323</v>
      </c>
      <c r="D20" s="8">
        <v>48</v>
      </c>
      <c r="E20" s="7">
        <v>2010399</v>
      </c>
      <c r="F20" s="7"/>
    </row>
    <row r="21" ht="14.25" spans="1:6">
      <c r="A21" s="7">
        <v>18</v>
      </c>
      <c r="B21" s="7" t="s">
        <v>324</v>
      </c>
      <c r="C21" s="7" t="s">
        <v>325</v>
      </c>
      <c r="D21" s="8">
        <v>21</v>
      </c>
      <c r="E21" s="7">
        <v>2010399</v>
      </c>
      <c r="F21" s="7"/>
    </row>
    <row r="22" ht="14.25" spans="1:6">
      <c r="A22" s="7">
        <v>19</v>
      </c>
      <c r="B22" s="7" t="s">
        <v>326</v>
      </c>
      <c r="C22" s="7" t="s">
        <v>327</v>
      </c>
      <c r="D22" s="8">
        <v>66</v>
      </c>
      <c r="E22" s="7">
        <v>2010399</v>
      </c>
      <c r="F22" s="7"/>
    </row>
    <row r="23" ht="14.25" spans="1:6">
      <c r="A23" s="7">
        <v>20</v>
      </c>
      <c r="B23" s="7" t="s">
        <v>328</v>
      </c>
      <c r="C23" s="7" t="s">
        <v>329</v>
      </c>
      <c r="D23" s="8">
        <v>10</v>
      </c>
      <c r="E23" s="7">
        <v>2050202</v>
      </c>
      <c r="F23" s="7"/>
    </row>
    <row r="24" ht="14.25" spans="1:6">
      <c r="A24" s="7">
        <v>21</v>
      </c>
      <c r="B24" s="7" t="s">
        <v>330</v>
      </c>
      <c r="C24" s="7" t="s">
        <v>331</v>
      </c>
      <c r="D24" s="8">
        <v>12</v>
      </c>
      <c r="E24" s="7">
        <v>2040202</v>
      </c>
      <c r="F24" s="7"/>
    </row>
    <row r="25" ht="14.25" spans="1:6">
      <c r="A25" s="7">
        <v>22</v>
      </c>
      <c r="B25" s="7" t="s">
        <v>332</v>
      </c>
      <c r="C25" s="7" t="s">
        <v>333</v>
      </c>
      <c r="D25" s="8">
        <v>10</v>
      </c>
      <c r="E25" s="7">
        <v>2012302</v>
      </c>
      <c r="F25" s="7"/>
    </row>
    <row r="26" ht="14.25" spans="1:6">
      <c r="A26" s="7"/>
      <c r="B26" s="7"/>
      <c r="C26" s="7"/>
      <c r="D26" s="8"/>
      <c r="E26" s="7"/>
      <c r="F26" s="7"/>
    </row>
    <row r="27" ht="14.25" spans="1:6">
      <c r="A27" s="7"/>
      <c r="B27" s="7"/>
      <c r="C27" s="8" t="s">
        <v>301</v>
      </c>
      <c r="D27" s="19">
        <f>SUM(D4:D26)</f>
        <v>16000</v>
      </c>
      <c r="E27" s="20"/>
      <c r="F27" s="7"/>
    </row>
  </sheetData>
  <mergeCells count="2">
    <mergeCell ref="A1:F1"/>
    <mergeCell ref="A2:B2"/>
  </mergeCells>
  <pageMargins left="0.751388888888889" right="0.751388888888889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一般预算收支调整总表</vt:lpstr>
      <vt:lpstr>土地出让金基金预算</vt:lpstr>
      <vt:lpstr>债券资金安排</vt:lpstr>
      <vt:lpstr>科学发展先进县资金安排</vt:lpstr>
      <vt:lpstr>调入资金安排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2019-12-30T09:19:03Z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  <property fmtid="{D5CDD505-2E9C-101B-9397-08002B2CF9AE}" pid="3" name="KSORubyTemplateID" linkTarget="0">
    <vt:lpwstr>14</vt:lpwstr>
  </property>
</Properties>
</file>